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Hoa Sen\2026\Tháng 4\NOXH\"/>
    </mc:Choice>
  </mc:AlternateContent>
  <xr:revisionPtr revIDLastSave="0" documentId="13_ncr:1_{D3EDD60E-7F85-4D38-990C-DF4C32EB3252}" xr6:coauthVersionLast="36" xr6:coauthVersionMax="36" xr10:uidLastSave="{00000000-0000-0000-0000-000000000000}"/>
  <bookViews>
    <workbookView xWindow="0" yWindow="0" windowWidth="21333" windowHeight="8073" firstSheet="1" activeTab="1" xr2:uid="{1564ECDC-8ABC-4A7E-A638-82B1C2BA8C51}"/>
  </bookViews>
  <sheets>
    <sheet name="Giá trị CTXD" sheetId="1" state="hidden" r:id="rId1"/>
    <sheet name="Thống kê xây dựng" sheetId="3" r:id="rId2"/>
  </sheets>
  <externalReferences>
    <externalReference r:id="rId3"/>
  </externalReferences>
  <definedNames>
    <definedName name="_xlnm.Print_Area" localSheetId="0">'Giá trị CTXD'!$A$1:$I$44</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 i="3" l="1"/>
  <c r="L6" i="3"/>
  <c r="L5" i="3"/>
  <c r="M5" i="3" s="1"/>
  <c r="L9" i="3"/>
  <c r="J8" i="3"/>
  <c r="D7" i="3"/>
  <c r="D6" i="3"/>
  <c r="D5" i="3"/>
  <c r="N6" i="3" l="1"/>
  <c r="O6" i="3" s="1"/>
  <c r="N5" i="3"/>
  <c r="O5" i="3" s="1"/>
  <c r="L7" i="3"/>
  <c r="M7" i="3" s="1"/>
  <c r="M9" i="3" s="1"/>
  <c r="M10" i="3" s="1"/>
  <c r="K6" i="3"/>
  <c r="K7" i="3"/>
  <c r="K5" i="3"/>
  <c r="J7" i="3"/>
  <c r="J6" i="3"/>
  <c r="J5" i="3"/>
  <c r="C4" i="3"/>
  <c r="C8" i="3" s="1"/>
  <c r="N7" i="3" l="1"/>
  <c r="O7" i="3" s="1"/>
  <c r="I30" i="1"/>
  <c r="D36" i="1" l="1"/>
  <c r="L29" i="1"/>
  <c r="N28" i="1"/>
  <c r="L24" i="1"/>
  <c r="N23" i="1" s="1"/>
  <c r="M19" i="1"/>
  <c r="O18" i="1" s="1"/>
  <c r="D10" i="1"/>
  <c r="D9" i="1"/>
  <c r="C9" i="1"/>
  <c r="D8" i="1"/>
  <c r="C8" i="1"/>
  <c r="C10" i="1" s="1"/>
  <c r="E10" i="1" s="1"/>
  <c r="D4" i="1"/>
  <c r="C4" i="1"/>
  <c r="E9" i="1" l="1"/>
  <c r="C29" i="1" s="1"/>
  <c r="H29" i="1" s="1"/>
  <c r="I29" i="1" s="1"/>
  <c r="E8" i="1"/>
  <c r="D38" i="1" s="1"/>
  <c r="D40" i="1"/>
  <c r="C28" i="1"/>
  <c r="H28" i="1" s="1"/>
  <c r="I28" i="1" s="1"/>
  <c r="C26" i="1"/>
  <c r="H26" i="1" s="1"/>
  <c r="I26" i="1" s="1"/>
  <c r="C17" i="1"/>
  <c r="H17" i="1" s="1"/>
  <c r="I17" i="1" s="1"/>
  <c r="C16" i="1"/>
  <c r="H16" i="1" s="1"/>
  <c r="I16" i="1" s="1"/>
  <c r="C21" i="1"/>
  <c r="H21" i="1" s="1"/>
  <c r="I21" i="1" s="1"/>
  <c r="C27" i="1"/>
  <c r="H27" i="1" s="1"/>
  <c r="I27" i="1" s="1"/>
  <c r="C20" i="1"/>
  <c r="H20" i="1" s="1"/>
  <c r="I20" i="1" s="1"/>
  <c r="C23" i="1"/>
  <c r="H23" i="1" s="1"/>
  <c r="I23" i="1" s="1"/>
  <c r="C24" i="1"/>
  <c r="H24" i="1" s="1"/>
  <c r="I24" i="1" s="1"/>
  <c r="C25" i="1"/>
  <c r="H25" i="1" s="1"/>
  <c r="I25" i="1" s="1"/>
  <c r="C18" i="1"/>
  <c r="H18" i="1" s="1"/>
  <c r="I18" i="1" s="1"/>
  <c r="C19" i="1"/>
  <c r="C22" i="1"/>
  <c r="H22" i="1" s="1"/>
  <c r="I22" i="1" s="1"/>
  <c r="D39" i="1" l="1"/>
  <c r="D41" i="1" l="1"/>
  <c r="D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D3" authorId="0" shapeId="0" xr:uid="{8C0FA12D-BF16-45D3-A6ED-8C4991094A28}">
      <text>
        <r>
          <rPr>
            <b/>
            <sz val="9"/>
            <color indexed="81"/>
            <rFont val="Tahoma"/>
            <charset val="1"/>
          </rPr>
          <t>Admin:</t>
        </r>
        <r>
          <rPr>
            <sz val="9"/>
            <color indexed="81"/>
            <rFont val="Tahoma"/>
            <charset val="1"/>
          </rPr>
          <t xml:space="preserve">
đơn giá = suất vốn * hệ số vùng/1,1</t>
        </r>
      </text>
    </comment>
  </commentList>
</comments>
</file>

<file path=xl/sharedStrings.xml><?xml version="1.0" encoding="utf-8"?>
<sst xmlns="http://schemas.openxmlformats.org/spreadsheetml/2006/main" count="118" uniqueCount="87">
  <si>
    <t>Chi phí đầu tư hạ tầng kỹ thuật</t>
  </si>
  <si>
    <t>Nội dung đầu tư</t>
  </si>
  <si>
    <t>Diện tích</t>
  </si>
  <si>
    <t>Đơn giá (Đồng/m2)</t>
  </si>
  <si>
    <t>Giá trị (Đồng)</t>
  </si>
  <si>
    <t>Tham chiếu</t>
  </si>
  <si>
    <t>Hạ tầng kỹ thuật khu công nghiệp</t>
  </si>
  <si>
    <t>Chi phí bồi thường giải phóng mặt bằng</t>
  </si>
  <si>
    <t>Chi phí đầu tư xây dựng công trình hạ tầng kỹ thuật</t>
  </si>
  <si>
    <t>Suất vốn xây dựng</t>
  </si>
  <si>
    <t>Công trình hạ tầng kỹ thuật cụm công nghiệp có quy mô
13300.04 từ 10 đến 75 ha</t>
  </si>
  <si>
    <t>Chi phí xây dựng</t>
  </si>
  <si>
    <t>Chi phí thiết bị</t>
  </si>
  <si>
    <t>Chi phí quản lý dự án và chi phí tư vấn đầu tư xây dựng</t>
  </si>
  <si>
    <t>.</t>
  </si>
  <si>
    <t>STT</t>
  </si>
  <si>
    <t>Nội dung</t>
  </si>
  <si>
    <t>Tổng CPXD+CPTB TSTĐ (đồng)</t>
  </si>
  <si>
    <t>Giá trị cận trên</t>
  </si>
  <si>
    <t>Giá trị cận dưới</t>
  </si>
  <si>
    <t>Giá trị nội suy</t>
  </si>
  <si>
    <t>CPXD+CPTB (tỷ đồng)</t>
  </si>
  <si>
    <t>Tỷ lệ %</t>
  </si>
  <si>
    <t>Tỷ lệ (%)</t>
  </si>
  <si>
    <t>Giá trị (đồng)</t>
  </si>
  <si>
    <t>(1)</t>
  </si>
  <si>
    <t>(2)</t>
  </si>
  <si>
    <t>(3)</t>
  </si>
  <si>
    <t>(4)</t>
  </si>
  <si>
    <t>(5)</t>
  </si>
  <si>
    <t>(6)</t>
  </si>
  <si>
    <t>(8)=6-((6-4)*(2-5)/(3-5))</t>
  </si>
  <si>
    <t>(8)=(7)*(2)</t>
  </si>
  <si>
    <t>Chi phí quản lý dự án</t>
  </si>
  <si>
    <t>Chi phí lập báo cáo kinh tế kỹ thuật</t>
  </si>
  <si>
    <t>Chi phí lập báo cáo nghiên cứu tiền khả thi</t>
  </si>
  <si>
    <t>X</t>
  </si>
  <si>
    <t>Chi phí lập báo cáo nghiên cứu khả thi</t>
  </si>
  <si>
    <t>Y</t>
  </si>
  <si>
    <t>-</t>
  </si>
  <si>
    <t>Chi phí thiết kế công trình hạ tầng kỹ thuật</t>
  </si>
  <si>
    <t>Chi phí thẩm tra báo cáo nghiên cứu tiền khả thi</t>
  </si>
  <si>
    <t>Chi phí lập hồ sơ mời thầu, đánh giá hồ sơ dự thầu thi công xây dựng</t>
  </si>
  <si>
    <t>Chi phí thẩm tra báo cáo nghiên cứu khả thi</t>
  </si>
  <si>
    <t>Chi phí thẩm tra thiết kế xây dựng</t>
  </si>
  <si>
    <t>Chi phí thẩm tra dự toán xây dựng</t>
  </si>
  <si>
    <t>Chi phí lập hồ sơ mời thầu, đánh giá hồ sơ dự thầu mua sắm vật tư, thiết bị</t>
  </si>
  <si>
    <t>Chi phí giám sát thi công xây dựng</t>
  </si>
  <si>
    <t>Chi phí giám sát lắp đặt thiết bị</t>
  </si>
  <si>
    <t>Chi phí quy đổi vốn đầu tư xây dựng</t>
  </si>
  <si>
    <t>Chi phí dự phòng và các chi phí phát sinh khác</t>
  </si>
  <si>
    <t>Ước tính khoảng 5% chi phí đấu tư hạ tầng kĩ thuật</t>
  </si>
  <si>
    <t>Tên dự án</t>
  </si>
  <si>
    <t>A</t>
  </si>
  <si>
    <t>Tổng diện tích đất</t>
  </si>
  <si>
    <t>I</t>
  </si>
  <si>
    <t>Chi phí đầu tư xây dựng xây dựng công trình hạ tầng kỹ thuật (Giá trị tính theo suất vốn đầu tư)</t>
  </si>
  <si>
    <t>TỔNG GIÁ TRỊ</t>
  </si>
  <si>
    <t>LÀM TRÒN</t>
  </si>
  <si>
    <t>Giá trị tài sản hình thành trong tương lai tại dự dán đầu tư xây dựng và kinh doanh cơ sở hạ tầng kỹ thuật cụm côn nghiệp số 2 huyện ĐAK ĐOA theo Giấy chứng nhận đăng ký đầu tư mã số dự án 5647382158; Quyết định chủ trương đầu tư đòng thời chấp thuận đầu tư số 442/QĐ-UBND ngày 25/7/2023 và Quyết định chấp thuận điều chỉnh chủ trương dầu tư đồng thời chấp thuận nhà đầu tư số 486/QĐ-UBND ngày 28/6/2025 của UBDN tỉnh Gia Lai.</t>
  </si>
  <si>
    <r>
      <rPr>
        <b/>
        <i/>
        <u/>
        <sz val="11"/>
        <color theme="1"/>
        <rFont val="Times New Roman"/>
        <family val="1"/>
      </rPr>
      <t>Ghi chú:</t>
    </r>
    <r>
      <rPr>
        <sz val="11"/>
        <color theme="1"/>
        <rFont val="Times New Roman"/>
        <family val="1"/>
      </rPr>
      <t xml:space="preserve">
- Giá trị sơ bộ được xác định theo thông tin KH cung cấp, đơn vị thẩm định chưa đi khảo sát tài sản.
- Kết quả sơ bộ này ko có giá trị thay thế chứng thư thẩm định giá, Hoa Sen không chịu trách nhiệm phát sinh từ báo giá sơ bộ này</t>
    </r>
  </si>
  <si>
    <t>TỔNG</t>
  </si>
  <si>
    <t>Theo Quyết định số 409/QĐ-BXD ngày 11/4/2025, suất vốn đầu tư xây dựng công trình hạ tầng kỹ thuật cum công nghiệp như sau:</t>
  </si>
  <si>
    <t>m2</t>
  </si>
  <si>
    <t>Diện tích xây dựng toà CT1</t>
  </si>
  <si>
    <t>Diện tích xây dựng toà CT2</t>
  </si>
  <si>
    <t>Diện tích xây dựng toà CT4</t>
  </si>
  <si>
    <t>II</t>
  </si>
  <si>
    <t>Diện tích xây dựng công trình</t>
  </si>
  <si>
    <t>III</t>
  </si>
  <si>
    <t>Quy mô</t>
  </si>
  <si>
    <t>Diện tích sàn xây dựng</t>
  </si>
  <si>
    <t>15 tầng + tum</t>
  </si>
  <si>
    <t>Đơn giá xây dựng (đồng/m2)</t>
  </si>
  <si>
    <t>Hệ số vùng</t>
  </si>
  <si>
    <t>Suất vốn (đồng/m2)</t>
  </si>
  <si>
    <t>Diện tích còn lại</t>
  </si>
  <si>
    <t>Tỷ lệ diện tích xây dựng/Tổng diện tích xây dựng</t>
  </si>
  <si>
    <t>Dự phòng ước tính (5%)</t>
  </si>
  <si>
    <t>Giá trị TS thẩm định</t>
  </si>
  <si>
    <t>Diện tích đất</t>
  </si>
  <si>
    <t>ĐVT</t>
  </si>
  <si>
    <r>
      <rPr>
        <b/>
        <i/>
        <u/>
        <sz val="12"/>
        <color theme="1"/>
        <rFont val="Times New Roman"/>
        <family val="1"/>
      </rPr>
      <t>Ghi chú:</t>
    </r>
    <r>
      <rPr>
        <sz val="12"/>
        <color theme="1"/>
        <rFont val="Times New Roman"/>
        <family val="2"/>
        <charset val="163"/>
      </rPr>
      <t xml:space="preserve">
- Giá trị tài sản được tính toán theo hồ sơ khách hàng cung cấp tổ thẩm định chưa đi khảo sát tài sản. Giá trị tài sản sẽ được đánh giá lại khi tổ thẩm định đi khảo sát hiện trạng tài sản.
- Báo giá sơ bộ này không phải là kết quả chứng thư thẩm định giá, Hoa Sen không chịu bất cứ trách nhiệm phát sinh nào từ báo giá sơ bộ này.
- Giá trị công trình xây dựng, HTKT trong báo giá sơ bộ được tính toán theo Suất vốn đầu tư xây dựng căn cứ theo Quyết định số 425/QĐ-BXD ngày 30/3/2026 của Bộ Xây dựng. Chi phí xây dựng chưa bao gồm các chi phí khác như: Chi phí bồi thường, hỗ trợ và tái định cư theo quy định pháp luật được tính trong sơ bộ tổng mức đầu tư, tổng mức đầu tư; Lãi vay trong thời gian thực hiện đầu tư xây dựng (đối với các dự án có sử dụng vốn vay); Vốn lưu động ban đầu (đối với các dự án đầu tư xây dựng nhằm mục đích sản xuất, kinh doanh) quy định tại </t>
    </r>
    <r>
      <rPr>
        <b/>
        <i/>
        <sz val="12"/>
        <color theme="1"/>
        <rFont val="Times New Roman"/>
        <family val="1"/>
      </rPr>
      <t>Điều 2- Khoản 1 - Phần I</t>
    </r>
    <r>
      <rPr>
        <sz val="12"/>
        <color theme="1"/>
        <rFont val="Times New Roman"/>
        <family val="2"/>
        <charset val="163"/>
      </rPr>
      <t xml:space="preserve"> Quyết định số 425/QĐ-BXD</t>
    </r>
  </si>
  <si>
    <t>GIÁ TRỊ SƠ BỘ TÀI SẢN CÔNG TRÌNH XÂY DỰNG - HẠ TẦNG KỸ THUẬT HÌNH THÀNH TRONG TƯƠNG LAI</t>
  </si>
  <si>
    <t>Chi phí đầu tư xây dựng công trình (Đồng)</t>
  </si>
  <si>
    <t>Phân bổ chi phí HTKT (đồng)</t>
  </si>
  <si>
    <t>Tổng chi phí đầu tư xây dựng + Chi phí HTKT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</si>
</sst>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 _₫_-;\-* #,##0.00\ _₫_-;_-* &quot;-&quot;??\ _₫_-;_-@_-"/>
    <numFmt numFmtId="164" formatCode="#,##0.00;[Red]#,##0.00"/>
    <numFmt numFmtId="165" formatCode="_(* #,##0_);_(* \(#,##0\);_(* &quot;-&quot;?_);_(@_)"/>
    <numFmt numFmtId="166" formatCode="#,##0.0;[Red]#,##0.0"/>
    <numFmt numFmtId="167" formatCode="_-* #,##0_-;\-* #,##0_-;_-* &quot;-&quot;??_-;_-@_-"/>
    <numFmt numFmtId="168" formatCode="_(* #,##0_);_(* \(#,##0\);_(* &quot;-&quot;??_);_(@_)"/>
    <numFmt numFmtId="169" formatCode="#,##0.000"/>
    <numFmt numFmtId="170" formatCode="#,##0.0000"/>
    <numFmt numFmtId="171" formatCode="0.0000"/>
    <numFmt numFmtId="172" formatCode="0.00000000"/>
    <numFmt numFmtId="173" formatCode="_-* #,##0.0\ _₫_-;\-* #,##0.0\ _₫_-;_-* &quot;-&quot;??\ _₫_-;_-@_-"/>
    <numFmt numFmtId="174" formatCode="_-* #,##0\ _₫_-;\-* #,##0\ _₫_-;_-* &quot;-&quot;??\ _₫_-;_-@_-"/>
    <numFmt numFmtId="175" formatCode="_-* #,##0.000\ _₫_-;\-* #,##0.000\ _₫_-;_-* &quot;-&quot;??\ _₫_-;_-@_-"/>
  </numFmts>
  <fonts count="29" x14ac:knownFonts="1">
    <font>
      <sz val="12"/>
      <color theme="1"/>
      <name val="Times New Roman"/>
      <family val="2"/>
      <charset val="163"/>
    </font>
    <font>
      <sz val="12"/>
      <color theme="1"/>
      <name val="Times New Roman"/>
      <family val="2"/>
      <charset val="163"/>
    </font>
    <font>
      <u/>
      <sz val="12"/>
      <color theme="10"/>
      <name val="Times New Roman"/>
      <family val="2"/>
      <charset val="163"/>
    </font>
    <font>
      <b/>
      <sz val="12"/>
      <color rgb="FFFF0000"/>
      <name val="Times New Roman"/>
      <family val="1"/>
    </font>
    <font>
      <sz val="11"/>
      <color theme="1"/>
      <name val="Times New Roman"/>
      <family val="1"/>
    </font>
    <font>
      <sz val="12"/>
      <color theme="1"/>
      <name val="Times New Roman"/>
      <family val="1"/>
    </font>
    <font>
      <sz val="11"/>
      <name val=".VnTime"/>
      <family val="2"/>
    </font>
    <font>
      <b/>
      <sz val="12"/>
      <name val="Times New Roman"/>
      <family val="1"/>
    </font>
    <font>
      <sz val="12"/>
      <name val="Times New Roman"/>
      <family val="1"/>
    </font>
    <font>
      <b/>
      <i/>
      <sz val="12"/>
      <name val="Times New Roman"/>
      <family val="1"/>
    </font>
    <font>
      <b/>
      <i/>
      <sz val="11"/>
      <color theme="1"/>
      <name val="Times New Roman"/>
      <family val="1"/>
    </font>
    <font>
      <b/>
      <sz val="11"/>
      <color theme="1"/>
      <name val="Times New Roman"/>
      <family val="1"/>
    </font>
    <font>
      <i/>
      <sz val="11"/>
      <color theme="1"/>
      <name val="Times New Roman"/>
      <family val="1"/>
    </font>
    <font>
      <i/>
      <sz val="12"/>
      <name val="Times New Roman"/>
      <family val="1"/>
    </font>
    <font>
      <sz val="16"/>
      <color rgb="FFFF0000"/>
      <name val="Times New Roman"/>
      <family val="1"/>
    </font>
    <font>
      <sz val="12"/>
      <color rgb="FFFF0000"/>
      <name val="Times New Roman"/>
      <family val="1"/>
    </font>
    <font>
      <u/>
      <sz val="12"/>
      <color theme="10"/>
      <name val="Times New Roman"/>
      <family val="1"/>
    </font>
    <font>
      <sz val="11"/>
      <name val="Times New Roman"/>
      <family val="1"/>
    </font>
    <font>
      <b/>
      <sz val="12"/>
      <color theme="1"/>
      <name val="Times New Roman"/>
      <family val="1"/>
    </font>
    <font>
      <sz val="11"/>
      <color rgb="FFFF0000"/>
      <name val="Times New Roman"/>
      <family val="1"/>
    </font>
    <font>
      <b/>
      <sz val="11"/>
      <color rgb="FFFF0000"/>
      <name val="Times New Roman"/>
      <family val="1"/>
    </font>
    <font>
      <b/>
      <sz val="11"/>
      <name val="Times New Roman"/>
      <family val="1"/>
    </font>
    <font>
      <sz val="11"/>
      <color theme="1"/>
      <name val="Calibri"/>
      <family val="2"/>
      <scheme val="minor"/>
    </font>
    <font>
      <sz val="11"/>
      <color theme="0"/>
      <name val="Times New Roman"/>
      <family val="1"/>
    </font>
    <font>
      <b/>
      <i/>
      <u/>
      <sz val="11"/>
      <color theme="1"/>
      <name val="Times New Roman"/>
      <family val="1"/>
    </font>
    <font>
      <sz val="9"/>
      <color indexed="81"/>
      <name val="Tahoma"/>
      <charset val="1"/>
    </font>
    <font>
      <b/>
      <sz val="9"/>
      <color indexed="81"/>
      <name val="Tahoma"/>
      <charset val="1"/>
    </font>
    <font>
      <b/>
      <i/>
      <sz val="12"/>
      <color theme="1"/>
      <name val="Times New Roman"/>
      <family val="1"/>
    </font>
    <font>
      <b/>
      <i/>
      <u/>
      <sz val="12"/>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6" fillId="0" borderId="0"/>
    <xf numFmtId="0" fontId="22" fillId="0" borderId="0"/>
    <xf numFmtId="9" fontId="1" fillId="0" borderId="0" applyFont="0" applyFill="0" applyBorder="0" applyAlignment="0" applyProtection="0"/>
  </cellStyleXfs>
  <cellXfs count="142">
    <xf numFmtId="0" fontId="0" fillId="0" borderId="0" xfId="0"/>
    <xf numFmtId="0" fontId="4" fillId="0" borderId="0" xfId="0" applyFont="1"/>
    <xf numFmtId="0" fontId="5" fillId="0" borderId="0" xfId="0" applyFont="1"/>
    <xf numFmtId="0" fontId="7" fillId="0" borderId="1" xfId="3" applyFont="1" applyBorder="1" applyAlignment="1">
      <alignment horizontal="center" vertical="center" wrapText="1"/>
    </xf>
    <xf numFmtId="3" fontId="7" fillId="0" borderId="1" xfId="3" applyNumberFormat="1" applyFont="1" applyBorder="1" applyAlignment="1">
      <alignment horizontal="center" vertical="center" wrapText="1"/>
    </xf>
    <xf numFmtId="43" fontId="8" fillId="0" borderId="1" xfId="1" applyFont="1" applyBorder="1" applyAlignment="1">
      <alignment horizontal="center" vertical="center" wrapText="1"/>
    </xf>
    <xf numFmtId="164" fontId="8" fillId="0" borderId="1" xfId="1" applyNumberFormat="1" applyFont="1" applyBorder="1" applyAlignment="1">
      <alignment horizontal="center" vertical="center"/>
    </xf>
    <xf numFmtId="0" fontId="7" fillId="0" borderId="1" xfId="3" applyFont="1" applyBorder="1" applyAlignment="1">
      <alignment horizontal="left" vertical="center" wrapText="1"/>
    </xf>
    <xf numFmtId="0" fontId="4" fillId="0" borderId="1" xfId="0" applyFont="1" applyBorder="1"/>
    <xf numFmtId="0" fontId="9" fillId="0" borderId="1" xfId="3" applyFont="1" applyBorder="1" applyAlignment="1">
      <alignment horizontal="left" vertical="center" wrapText="1"/>
    </xf>
    <xf numFmtId="0" fontId="10" fillId="0" borderId="1" xfId="0" applyFont="1" applyBorder="1"/>
    <xf numFmtId="3" fontId="4" fillId="0" borderId="0" xfId="0" applyNumberFormat="1" applyFont="1"/>
    <xf numFmtId="0" fontId="13" fillId="0" borderId="1" xfId="3" applyFont="1" applyBorder="1" applyAlignment="1">
      <alignment horizontal="left" vertical="center" wrapText="1"/>
    </xf>
    <xf numFmtId="166" fontId="13" fillId="0" borderId="1" xfId="1" applyNumberFormat="1" applyFont="1" applyBorder="1" applyAlignment="1">
      <alignment horizontal="center" vertical="center" wrapText="1"/>
    </xf>
    <xf numFmtId="164" fontId="13" fillId="0" borderId="1" xfId="1" applyNumberFormat="1" applyFont="1" applyBorder="1" applyAlignment="1">
      <alignment horizontal="center" vertical="center"/>
    </xf>
    <xf numFmtId="3" fontId="13" fillId="0" borderId="1" xfId="3" applyNumberFormat="1" applyFont="1" applyBorder="1" applyAlignment="1">
      <alignment horizontal="left" vertical="center"/>
    </xf>
    <xf numFmtId="3" fontId="13" fillId="0" borderId="0" xfId="3" applyNumberFormat="1" applyFont="1" applyBorder="1" applyAlignment="1">
      <alignment horizontal="left" vertical="center"/>
    </xf>
    <xf numFmtId="166" fontId="13" fillId="0" borderId="0" xfId="1" applyNumberFormat="1" applyFont="1" applyBorder="1" applyAlignment="1">
      <alignment horizontal="center" vertical="center" wrapText="1"/>
    </xf>
    <xf numFmtId="164" fontId="13" fillId="0" borderId="0" xfId="1" applyNumberFormat="1" applyFont="1" applyBorder="1" applyAlignment="1">
      <alignment horizontal="center" vertical="center"/>
    </xf>
    <xf numFmtId="0" fontId="8" fillId="0" borderId="0" xfId="3" applyFont="1" applyBorder="1" applyAlignment="1">
      <alignment horizontal="center" vertical="center" wrapText="1"/>
    </xf>
    <xf numFmtId="0" fontId="3" fillId="2" borderId="0" xfId="0" applyFont="1" applyFill="1"/>
    <xf numFmtId="0" fontId="14" fillId="2" borderId="0" xfId="0" applyFont="1" applyFill="1"/>
    <xf numFmtId="0" fontId="15" fillId="2" borderId="0" xfId="0" applyFont="1" applyFill="1" applyAlignment="1">
      <alignment horizontal="center"/>
    </xf>
    <xf numFmtId="0" fontId="16" fillId="2" borderId="0" xfId="2" applyFont="1" applyFill="1"/>
    <xf numFmtId="0" fontId="15" fillId="2" borderId="0" xfId="0" applyFont="1" applyFill="1"/>
    <xf numFmtId="0" fontId="4" fillId="0" borderId="0" xfId="0" applyFont="1" applyAlignment="1">
      <alignment horizont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4" fillId="0" borderId="0" xfId="0" applyFont="1" applyAlignment="1">
      <alignment horizontal="center" vertical="center"/>
    </xf>
    <xf numFmtId="0" fontId="12" fillId="3" borderId="1" xfId="0" applyFont="1" applyFill="1" applyBorder="1" applyAlignment="1">
      <alignment horizontal="center" vertical="center"/>
    </xf>
    <xf numFmtId="49" fontId="12" fillId="3" borderId="1" xfId="0" applyNumberFormat="1" applyFont="1" applyFill="1" applyBorder="1" applyAlignment="1">
      <alignment horizontal="center" vertical="center"/>
    </xf>
    <xf numFmtId="0" fontId="12" fillId="0" borderId="0" xfId="0" applyFont="1" applyAlignment="1">
      <alignment horizontal="center" vertical="center"/>
    </xf>
    <xf numFmtId="0" fontId="4" fillId="3" borderId="1" xfId="0" applyFont="1" applyFill="1" applyBorder="1" applyAlignment="1">
      <alignment horizontal="center" vertical="center"/>
    </xf>
    <xf numFmtId="3" fontId="17" fillId="3" borderId="1" xfId="3" applyNumberFormat="1" applyFont="1" applyFill="1" applyBorder="1" applyAlignment="1">
      <alignment vertical="center" wrapText="1"/>
    </xf>
    <xf numFmtId="168" fontId="17" fillId="3" borderId="1" xfId="1" applyNumberFormat="1" applyFont="1" applyFill="1" applyBorder="1" applyAlignment="1">
      <alignment horizontal="center" vertical="center" wrapText="1"/>
    </xf>
    <xf numFmtId="169" fontId="17" fillId="3" borderId="1" xfId="0" applyNumberFormat="1" applyFont="1" applyFill="1" applyBorder="1" applyAlignment="1">
      <alignment horizontal="center" vertical="center"/>
    </xf>
    <xf numFmtId="170" fontId="17" fillId="3" borderId="1" xfId="0" applyNumberFormat="1" applyFont="1" applyFill="1" applyBorder="1" applyAlignment="1">
      <alignment vertical="center"/>
    </xf>
    <xf numFmtId="3" fontId="17" fillId="3" borderId="1" xfId="0" applyNumberFormat="1" applyFont="1" applyFill="1" applyBorder="1" applyAlignment="1">
      <alignment vertical="center"/>
    </xf>
    <xf numFmtId="0" fontId="5" fillId="0" borderId="0" xfId="0" applyFont="1" applyAlignment="1">
      <alignment vertical="center"/>
    </xf>
    <xf numFmtId="3" fontId="17" fillId="3" borderId="1" xfId="3" applyNumberFormat="1" applyFont="1" applyFill="1" applyBorder="1" applyAlignment="1">
      <alignment wrapText="1"/>
    </xf>
    <xf numFmtId="0" fontId="5" fillId="0" borderId="1" xfId="0" applyFont="1" applyBorder="1" applyAlignment="1">
      <alignment horizontal="center" vertical="center"/>
    </xf>
    <xf numFmtId="0" fontId="18" fillId="0" borderId="1" xfId="0" applyFont="1" applyBorder="1" applyAlignment="1">
      <alignment horizontal="center" vertical="center"/>
    </xf>
    <xf numFmtId="0" fontId="19" fillId="3" borderId="1" xfId="0" applyFont="1" applyFill="1" applyBorder="1" applyAlignment="1">
      <alignment horizontal="center" vertical="center"/>
    </xf>
    <xf numFmtId="3" fontId="19" fillId="3" borderId="1" xfId="3" applyNumberFormat="1" applyFont="1" applyFill="1" applyBorder="1" applyAlignment="1">
      <alignment wrapText="1"/>
    </xf>
    <xf numFmtId="0" fontId="20" fillId="3" borderId="1" xfId="0" applyFont="1" applyFill="1" applyBorder="1" applyAlignment="1">
      <alignment horizontal="center" vertical="center"/>
    </xf>
    <xf numFmtId="3" fontId="19" fillId="3" borderId="1" xfId="0" applyNumberFormat="1" applyFont="1" applyFill="1" applyBorder="1" applyAlignment="1">
      <alignment vertical="center"/>
    </xf>
    <xf numFmtId="171" fontId="3" fillId="0" borderId="1" xfId="0" applyNumberFormat="1" applyFont="1" applyBorder="1" applyAlignment="1">
      <alignment horizontal="center" vertical="center"/>
    </xf>
    <xf numFmtId="0" fontId="5" fillId="0" borderId="1" xfId="0" applyFont="1" applyBorder="1"/>
    <xf numFmtId="172" fontId="5" fillId="0" borderId="1" xfId="0" applyNumberFormat="1" applyFont="1" applyBorder="1" applyAlignment="1">
      <alignment horizontal="center" vertical="center"/>
    </xf>
    <xf numFmtId="0" fontId="5" fillId="0" borderId="1" xfId="0" applyFont="1" applyBorder="1" applyAlignment="1">
      <alignment horizontal="center"/>
    </xf>
    <xf numFmtId="0" fontId="5" fillId="3" borderId="0" xfId="0" applyFont="1" applyFill="1" applyAlignment="1">
      <alignment vertical="center"/>
    </xf>
    <xf numFmtId="0" fontId="17" fillId="3" borderId="1" xfId="0" applyFont="1" applyFill="1" applyBorder="1" applyAlignment="1">
      <alignment horizontal="center" vertical="center"/>
    </xf>
    <xf numFmtId="0" fontId="5" fillId="3" borderId="0" xfId="0" applyFont="1" applyFill="1"/>
    <xf numFmtId="0" fontId="3" fillId="0" borderId="1" xfId="0" applyFont="1" applyBorder="1" applyAlignment="1">
      <alignment horizontal="center" vertical="center"/>
    </xf>
    <xf numFmtId="0" fontId="20" fillId="2" borderId="0" xfId="0" applyFont="1" applyFill="1"/>
    <xf numFmtId="0" fontId="19" fillId="2" borderId="0" xfId="0" applyFont="1" applyFill="1"/>
    <xf numFmtId="0" fontId="19" fillId="2" borderId="0" xfId="0" applyFont="1" applyFill="1" applyAlignment="1">
      <alignment horizontal="center"/>
    </xf>
    <xf numFmtId="0" fontId="17" fillId="0" borderId="0" xfId="0" applyFont="1"/>
    <xf numFmtId="0" fontId="17" fillId="0" borderId="0" xfId="2" applyFont="1" applyAlignment="1">
      <alignment vertical="center"/>
    </xf>
    <xf numFmtId="3" fontId="21" fillId="3" borderId="1" xfId="0" applyNumberFormat="1" applyFont="1" applyFill="1" applyBorder="1" applyAlignment="1">
      <alignment horizontal="center" vertical="center"/>
    </xf>
    <xf numFmtId="0" fontId="21" fillId="3" borderId="1" xfId="0" applyFont="1" applyFill="1" applyBorder="1" applyAlignment="1">
      <alignment horizontal="center" vertical="center" wrapText="1"/>
    </xf>
    <xf numFmtId="0" fontId="4" fillId="3" borderId="0" xfId="0" applyFont="1" applyFill="1"/>
    <xf numFmtId="0" fontId="17" fillId="3" borderId="0" xfId="0" applyFont="1" applyFill="1"/>
    <xf numFmtId="3" fontId="21" fillId="3" borderId="1" xfId="0" applyNumberFormat="1" applyFont="1" applyFill="1" applyBorder="1" applyAlignment="1">
      <alignment horizontal="center" vertical="center" wrapText="1"/>
    </xf>
    <xf numFmtId="167" fontId="21" fillId="3" borderId="1" xfId="0" applyNumberFormat="1" applyFont="1" applyFill="1" applyBorder="1" applyAlignment="1">
      <alignment vertical="center"/>
    </xf>
    <xf numFmtId="3" fontId="17" fillId="3" borderId="1" xfId="0" quotePrefix="1" applyNumberFormat="1" applyFont="1" applyFill="1" applyBorder="1" applyAlignment="1">
      <alignment horizontal="center" vertical="center"/>
    </xf>
    <xf numFmtId="167" fontId="17" fillId="3" borderId="1" xfId="1" applyNumberFormat="1" applyFont="1" applyFill="1" applyBorder="1" applyAlignment="1">
      <alignment vertical="center"/>
    </xf>
    <xf numFmtId="0" fontId="11" fillId="3" borderId="1" xfId="0" applyFont="1" applyFill="1" applyBorder="1"/>
    <xf numFmtId="167" fontId="11" fillId="3" borderId="1" xfId="0" applyNumberFormat="1" applyFont="1" applyFill="1" applyBorder="1"/>
    <xf numFmtId="0" fontId="4" fillId="3" borderId="0" xfId="0" applyFont="1" applyFill="1" applyAlignment="1">
      <alignment horizontal="center"/>
    </xf>
    <xf numFmtId="168" fontId="17" fillId="5" borderId="1" xfId="1" applyNumberFormat="1" applyFont="1" applyFill="1" applyBorder="1" applyAlignment="1">
      <alignment horizontal="center" vertical="center" wrapText="1"/>
    </xf>
    <xf numFmtId="169" fontId="17" fillId="5" borderId="1" xfId="0" applyNumberFormat="1" applyFont="1" applyFill="1" applyBorder="1" applyAlignment="1">
      <alignment horizontal="center" vertical="center"/>
    </xf>
    <xf numFmtId="170" fontId="17" fillId="5" borderId="1" xfId="0" applyNumberFormat="1" applyFont="1" applyFill="1" applyBorder="1" applyAlignment="1">
      <alignment vertical="center"/>
    </xf>
    <xf numFmtId="3" fontId="17" fillId="5" borderId="1" xfId="0" applyNumberFormat="1" applyFont="1" applyFill="1" applyBorder="1" applyAlignment="1">
      <alignment vertical="center"/>
    </xf>
    <xf numFmtId="9" fontId="23" fillId="3" borderId="0" xfId="0" applyNumberFormat="1" applyFont="1" applyFill="1"/>
    <xf numFmtId="0" fontId="11" fillId="3" borderId="0" xfId="0" applyFont="1" applyFill="1" applyBorder="1"/>
    <xf numFmtId="0" fontId="11" fillId="3" borderId="0" xfId="0" applyFont="1" applyFill="1" applyBorder="1" applyAlignment="1">
      <alignment horizontal="center"/>
    </xf>
    <xf numFmtId="167" fontId="11" fillId="3" borderId="0" xfId="0" applyNumberFormat="1" applyFont="1" applyFill="1" applyBorder="1"/>
    <xf numFmtId="3" fontId="11" fillId="0" borderId="1" xfId="0" applyNumberFormat="1" applyFont="1" applyBorder="1"/>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173" fontId="0" fillId="0" borderId="0" xfId="1" applyNumberFormat="1" applyFont="1"/>
    <xf numFmtId="0" fontId="0" fillId="0" borderId="1" xfId="0" applyBorder="1"/>
    <xf numFmtId="173" fontId="0" fillId="0" borderId="1" xfId="1" applyNumberFormat="1" applyFont="1" applyBorder="1"/>
    <xf numFmtId="0" fontId="0" fillId="0" borderId="1" xfId="0" applyBorder="1" applyAlignment="1">
      <alignment horizontal="center" vertical="center"/>
    </xf>
    <xf numFmtId="0" fontId="0" fillId="0" borderId="0" xfId="0" applyAlignment="1">
      <alignment horizontal="center" vertical="center"/>
    </xf>
    <xf numFmtId="0" fontId="18" fillId="0" borderId="1" xfId="0" applyFont="1" applyBorder="1"/>
    <xf numFmtId="173" fontId="18" fillId="0" borderId="1" xfId="1" applyNumberFormat="1" applyFont="1" applyBorder="1"/>
    <xf numFmtId="0" fontId="18" fillId="0" borderId="0" xfId="0" applyFont="1"/>
    <xf numFmtId="0" fontId="0" fillId="0" borderId="0" xfId="0" applyAlignment="1">
      <alignment wrapText="1"/>
    </xf>
    <xf numFmtId="174" fontId="0" fillId="0" borderId="1" xfId="1" applyNumberFormat="1" applyFont="1" applyBorder="1"/>
    <xf numFmtId="175" fontId="0" fillId="0" borderId="1" xfId="1" applyNumberFormat="1" applyFont="1" applyBorder="1"/>
    <xf numFmtId="174" fontId="18" fillId="0" borderId="1" xfId="1" applyNumberFormat="1" applyFont="1" applyBorder="1"/>
    <xf numFmtId="0" fontId="18" fillId="0" borderId="1" xfId="0" applyFont="1" applyBorder="1" applyAlignment="1">
      <alignment horizontal="center" vertical="center"/>
    </xf>
    <xf numFmtId="173" fontId="18" fillId="0" borderId="1" xfId="1" applyNumberFormat="1" applyFont="1" applyBorder="1" applyAlignment="1">
      <alignment horizontal="center" vertical="center" wrapText="1"/>
    </xf>
    <xf numFmtId="10" fontId="0" fillId="0" borderId="1" xfId="5" applyNumberFormat="1" applyFont="1" applyBorder="1"/>
    <xf numFmtId="174" fontId="0" fillId="2" borderId="1" xfId="1" applyNumberFormat="1" applyFont="1" applyFill="1" applyBorder="1"/>
    <xf numFmtId="0" fontId="11" fillId="3" borderId="2" xfId="0" applyFont="1" applyFill="1" applyBorder="1" applyAlignment="1">
      <alignment horizontal="center"/>
    </xf>
    <xf numFmtId="0" fontId="11" fillId="3" borderId="3" xfId="0" applyFont="1" applyFill="1" applyBorder="1" applyAlignment="1">
      <alignment horizontal="center"/>
    </xf>
    <xf numFmtId="0" fontId="11" fillId="3" borderId="1" xfId="0" applyFont="1" applyFill="1" applyBorder="1" applyAlignment="1">
      <alignment horizontal="center" vertical="center" wrapText="1"/>
    </xf>
    <xf numFmtId="0" fontId="5" fillId="4" borderId="11" xfId="0" applyFont="1" applyFill="1" applyBorder="1" applyAlignment="1">
      <alignment horizontal="center"/>
    </xf>
    <xf numFmtId="0" fontId="5" fillId="4" borderId="11" xfId="0" applyFont="1" applyFill="1" applyBorder="1" applyAlignment="1">
      <alignment horizontal="center" wrapText="1"/>
    </xf>
    <xf numFmtId="0" fontId="5" fillId="4" borderId="11" xfId="0" applyFont="1" applyFill="1" applyBorder="1" applyAlignment="1">
      <alignment horizontal="center" vertical="center" wrapText="1"/>
    </xf>
    <xf numFmtId="0" fontId="21" fillId="3" borderId="1" xfId="0" applyFont="1" applyFill="1" applyBorder="1" applyAlignment="1">
      <alignment horizontal="center" vertical="center"/>
    </xf>
    <xf numFmtId="0" fontId="18" fillId="0" borderId="1" xfId="0" applyFont="1" applyBorder="1" applyAlignment="1">
      <alignment horizontal="center" vertical="center"/>
    </xf>
    <xf numFmtId="0" fontId="21"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167" fontId="13" fillId="0" borderId="1" xfId="1" applyNumberFormat="1" applyFont="1" applyBorder="1" applyAlignment="1">
      <alignment horizontal="center" vertical="center" wrapText="1"/>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65" fontId="7" fillId="0" borderId="1" xfId="3" applyNumberFormat="1" applyFont="1" applyBorder="1" applyAlignment="1">
      <alignment horizontal="center" vertical="center" wrapText="1"/>
    </xf>
    <xf numFmtId="0" fontId="4" fillId="0" borderId="2" xfId="0" applyFont="1" applyBorder="1" applyAlignment="1">
      <alignment horizontal="center" wrapText="1"/>
    </xf>
    <xf numFmtId="0" fontId="4" fillId="0" borderId="4"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left" wrapText="1"/>
    </xf>
    <xf numFmtId="0" fontId="4" fillId="0" borderId="1" xfId="0" applyFont="1" applyBorder="1" applyAlignment="1">
      <alignment horizontal="left"/>
    </xf>
    <xf numFmtId="0" fontId="4" fillId="0" borderId="2"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xf>
    <xf numFmtId="0" fontId="3" fillId="2" borderId="0" xfId="0" applyFont="1" applyFill="1" applyAlignment="1">
      <alignment horizontal="left"/>
    </xf>
    <xf numFmtId="0" fontId="7" fillId="0" borderId="1" xfId="3" applyFont="1" applyBorder="1" applyAlignment="1">
      <alignment horizontal="center" vertical="center" wrapText="1"/>
    </xf>
    <xf numFmtId="0" fontId="7" fillId="0" borderId="2" xfId="3"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165" fontId="9" fillId="0" borderId="1" xfId="3"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167" fontId="4" fillId="0" borderId="1" xfId="1" applyNumberFormat="1" applyFont="1" applyBorder="1" applyAlignment="1">
      <alignment horizontal="center" vertical="center"/>
    </xf>
    <xf numFmtId="0" fontId="8" fillId="0" borderId="5" xfId="3" applyFont="1" applyBorder="1" applyAlignment="1">
      <alignment horizontal="center" vertical="center" wrapText="1"/>
    </xf>
    <xf numFmtId="0" fontId="8" fillId="0" borderId="6" xfId="3" applyFont="1" applyBorder="1" applyAlignment="1">
      <alignment horizontal="center" vertical="center" wrapText="1"/>
    </xf>
    <xf numFmtId="0" fontId="8" fillId="0" borderId="7" xfId="3" applyFont="1" applyBorder="1" applyAlignment="1">
      <alignment horizontal="center" vertical="center" wrapText="1"/>
    </xf>
    <xf numFmtId="0" fontId="8" fillId="0" borderId="8" xfId="3" applyFont="1" applyBorder="1" applyAlignment="1">
      <alignment horizontal="center" vertical="center" wrapText="1"/>
    </xf>
    <xf numFmtId="0" fontId="8" fillId="0" borderId="0" xfId="3" applyFont="1" applyBorder="1" applyAlignment="1">
      <alignment horizontal="center" vertical="center" wrapText="1"/>
    </xf>
    <xf numFmtId="0" fontId="8" fillId="0" borderId="9"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12" xfId="3" applyFont="1" applyBorder="1" applyAlignment="1">
      <alignment horizontal="center" vertical="center" wrapText="1"/>
    </xf>
    <xf numFmtId="175" fontId="18" fillId="0" borderId="1" xfId="1" applyNumberFormat="1" applyFont="1" applyBorder="1"/>
    <xf numFmtId="0" fontId="18" fillId="0" borderId="11" xfId="0" applyFont="1" applyBorder="1" applyAlignment="1">
      <alignment horizontal="center" vertical="center"/>
    </xf>
    <xf numFmtId="0" fontId="0" fillId="0" borderId="6" xfId="0" applyBorder="1" applyAlignment="1">
      <alignment horizontal="left" vertical="center"/>
    </xf>
    <xf numFmtId="0" fontId="5" fillId="0" borderId="6" xfId="0" applyFont="1" applyBorder="1" applyAlignment="1">
      <alignment horizontal="left" vertical="center" wrapText="1"/>
    </xf>
  </cellXfs>
  <cellStyles count="6">
    <cellStyle name="Bình thường 2" xfId="4" xr:uid="{91386680-042C-44AA-A795-A459AEC5DECD}"/>
    <cellStyle name="Comma" xfId="1" builtinId="3"/>
    <cellStyle name="Hyperlink" xfId="2" builtinId="8"/>
    <cellStyle name="Normal" xfId="0" builtinId="0"/>
    <cellStyle name="Normal_Bang tinh (Sua) 2" xfId="3" xr:uid="{B68A34B8-DFE3-4761-97F8-3081E33E7F7C}"/>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18</xdr:col>
      <xdr:colOff>414230</xdr:colOff>
      <xdr:row>7</xdr:row>
      <xdr:rowOff>72831</xdr:rowOff>
    </xdr:from>
    <xdr:to>
      <xdr:col>24</xdr:col>
      <xdr:colOff>29662</xdr:colOff>
      <xdr:row>14</xdr:row>
      <xdr:rowOff>7339</xdr:rowOff>
    </xdr:to>
    <xdr:pic>
      <xdr:nvPicPr>
        <xdr:cNvPr id="5" name="Picture 4">
          <a:extLst>
            <a:ext uri="{FF2B5EF4-FFF2-40B4-BE49-F238E27FC236}">
              <a16:creationId xmlns:a16="http://schemas.microsoft.com/office/drawing/2014/main" id="{54C1D177-8C01-4F32-89F8-1108379189E3}"/>
            </a:ext>
          </a:extLst>
        </xdr:cNvPr>
        <xdr:cNvPicPr>
          <a:picLocks noChangeAspect="1"/>
        </xdr:cNvPicPr>
      </xdr:nvPicPr>
      <xdr:blipFill>
        <a:blip xmlns:r="http://schemas.openxmlformats.org/officeDocument/2006/relationships" r:embed="rId1"/>
        <a:stretch>
          <a:fillRect/>
        </a:stretch>
      </xdr:blipFill>
      <xdr:spPr>
        <a:xfrm>
          <a:off x="14274983" y="2107562"/>
          <a:ext cx="3630270" cy="1614186"/>
        </a:xfrm>
        <a:prstGeom prst="rect">
          <a:avLst/>
        </a:prstGeom>
      </xdr:spPr>
    </xdr:pic>
    <xdr:clientData/>
  </xdr:twoCellAnchor>
  <xdr:twoCellAnchor editAs="oneCell">
    <xdr:from>
      <xdr:col>18</xdr:col>
      <xdr:colOff>628171</xdr:colOff>
      <xdr:row>14</xdr:row>
      <xdr:rowOff>26790</xdr:rowOff>
    </xdr:from>
    <xdr:to>
      <xdr:col>23</xdr:col>
      <xdr:colOff>579542</xdr:colOff>
      <xdr:row>20</xdr:row>
      <xdr:rowOff>86487</xdr:rowOff>
    </xdr:to>
    <xdr:pic>
      <xdr:nvPicPr>
        <xdr:cNvPr id="6" name="Picture 5">
          <a:extLst>
            <a:ext uri="{FF2B5EF4-FFF2-40B4-BE49-F238E27FC236}">
              <a16:creationId xmlns:a16="http://schemas.microsoft.com/office/drawing/2014/main" id="{214B96EB-CD1D-435A-A5F8-B9C805804526}"/>
            </a:ext>
          </a:extLst>
        </xdr:cNvPr>
        <xdr:cNvPicPr>
          <a:picLocks noChangeAspect="1"/>
        </xdr:cNvPicPr>
      </xdr:nvPicPr>
      <xdr:blipFill>
        <a:blip xmlns:r="http://schemas.openxmlformats.org/officeDocument/2006/relationships" r:embed="rId2"/>
        <a:stretch>
          <a:fillRect/>
        </a:stretch>
      </xdr:blipFill>
      <xdr:spPr>
        <a:xfrm>
          <a:off x="14488924" y="3741199"/>
          <a:ext cx="3297070" cy="1580055"/>
        </a:xfrm>
        <a:prstGeom prst="rect">
          <a:avLst/>
        </a:prstGeom>
      </xdr:spPr>
    </xdr:pic>
    <xdr:clientData/>
  </xdr:twoCellAnchor>
  <xdr:twoCellAnchor editAs="oneCell">
    <xdr:from>
      <xdr:col>18</xdr:col>
      <xdr:colOff>591756</xdr:colOff>
      <xdr:row>20</xdr:row>
      <xdr:rowOff>120462</xdr:rowOff>
    </xdr:from>
    <xdr:to>
      <xdr:col>24</xdr:col>
      <xdr:colOff>433857</xdr:colOff>
      <xdr:row>26</xdr:row>
      <xdr:rowOff>189756</xdr:rowOff>
    </xdr:to>
    <xdr:pic>
      <xdr:nvPicPr>
        <xdr:cNvPr id="7" name="Picture 6">
          <a:extLst>
            <a:ext uri="{FF2B5EF4-FFF2-40B4-BE49-F238E27FC236}">
              <a16:creationId xmlns:a16="http://schemas.microsoft.com/office/drawing/2014/main" id="{56719FF5-70C3-40F0-9DF6-0C87FC7C3C12}"/>
            </a:ext>
          </a:extLst>
        </xdr:cNvPr>
        <xdr:cNvPicPr>
          <a:picLocks noChangeAspect="1"/>
        </xdr:cNvPicPr>
      </xdr:nvPicPr>
      <xdr:blipFill>
        <a:blip xmlns:r="http://schemas.openxmlformats.org/officeDocument/2006/relationships" r:embed="rId3"/>
        <a:stretch>
          <a:fillRect/>
        </a:stretch>
      </xdr:blipFill>
      <xdr:spPr>
        <a:xfrm>
          <a:off x="14452509" y="5355229"/>
          <a:ext cx="3856939" cy="1890083"/>
        </a:xfrm>
        <a:prstGeom prst="rect">
          <a:avLst/>
        </a:prstGeom>
      </xdr:spPr>
    </xdr:pic>
    <xdr:clientData/>
  </xdr:twoCellAnchor>
  <xdr:twoCellAnchor editAs="oneCell">
    <xdr:from>
      <xdr:col>19</xdr:col>
      <xdr:colOff>59177</xdr:colOff>
      <xdr:row>26</xdr:row>
      <xdr:rowOff>192465</xdr:rowOff>
    </xdr:from>
    <xdr:to>
      <xdr:col>25</xdr:col>
      <xdr:colOff>140123</xdr:colOff>
      <xdr:row>36</xdr:row>
      <xdr:rowOff>647160</xdr:rowOff>
    </xdr:to>
    <xdr:pic>
      <xdr:nvPicPr>
        <xdr:cNvPr id="8" name="Picture 7">
          <a:extLst>
            <a:ext uri="{FF2B5EF4-FFF2-40B4-BE49-F238E27FC236}">
              <a16:creationId xmlns:a16="http://schemas.microsoft.com/office/drawing/2014/main" id="{BDDBD32D-09A7-4FD1-9EC0-648E71615D4D}"/>
            </a:ext>
          </a:extLst>
        </xdr:cNvPr>
        <xdr:cNvPicPr>
          <a:picLocks noChangeAspect="1"/>
        </xdr:cNvPicPr>
      </xdr:nvPicPr>
      <xdr:blipFill>
        <a:blip xmlns:r="http://schemas.openxmlformats.org/officeDocument/2006/relationships" r:embed="rId4"/>
        <a:stretch>
          <a:fillRect/>
        </a:stretch>
      </xdr:blipFill>
      <xdr:spPr>
        <a:xfrm>
          <a:off x="14589069" y="7248021"/>
          <a:ext cx="4095785" cy="24120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a%20Sen/2026/Th&#225;ng%203/KCN%20Gia%20LAi/0.%20B&#7843;ng%20t&#237;nh_CCN%20Gia%20L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CB"/>
      <sheetName val="HS"/>
      <sheetName val="KH"/>
      <sheetName val="TT"/>
      <sheetName val="TMĐT"/>
      <sheetName val="Chi phí"/>
      <sheetName val="Doanh thu"/>
      <sheetName val="Vđất"/>
      <sheetName val="KQ"/>
      <sheetName val="TSSS"/>
      <sheetName val="BĐC"/>
      <sheetName val="Thêm HS"/>
      <sheetName val="CP đã thực hiện"/>
      <sheetName val="Tỷ suất CK"/>
      <sheetName val="Lãi vay"/>
      <sheetName val="BCTC"/>
      <sheetName val="TSSS1"/>
      <sheetName val="TSSS2"/>
      <sheetName val="TSSS3"/>
    </sheetNames>
    <sheetDataSet>
      <sheetData sheetId="0"/>
      <sheetData sheetId="1"/>
      <sheetData sheetId="2"/>
      <sheetData sheetId="3">
        <row r="29">
          <cell r="C29">
            <v>750000</v>
          </cell>
        </row>
        <row r="34">
          <cell r="D34">
            <v>750000</v>
          </cell>
        </row>
      </sheetData>
      <sheetData sheetId="4">
        <row r="17">
          <cell r="L17">
            <v>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C5346-26D8-464B-9EB2-199E412EFD9C}">
  <dimension ref="A1:W44"/>
  <sheetViews>
    <sheetView view="pageBreakPreview" topLeftCell="A9" zoomScale="93" zoomScaleNormal="100" zoomScaleSheetLayoutView="93" workbookViewId="0">
      <selection activeCell="D9" sqref="D9"/>
    </sheetView>
  </sheetViews>
  <sheetFormatPr defaultColWidth="8.77734375" defaultRowHeight="14" x14ac:dyDescent="0.45"/>
  <cols>
    <col min="1" max="1" width="5" style="1" customWidth="1"/>
    <col min="2" max="2" width="31.21875" style="1" customWidth="1"/>
    <col min="3" max="3" width="24" style="1" customWidth="1"/>
    <col min="4" max="4" width="16.88671875" style="1" customWidth="1"/>
    <col min="5" max="5" width="8.71875" style="25" customWidth="1"/>
    <col min="6" max="6" width="16.88671875" style="1" customWidth="1"/>
    <col min="7" max="7" width="7.609375" style="25" customWidth="1"/>
    <col min="8" max="8" width="10.109375" style="1" customWidth="1"/>
    <col min="9" max="9" width="16.6640625" style="1" customWidth="1"/>
    <col min="10" max="10" width="18.38671875" style="1" bestFit="1" customWidth="1"/>
    <col min="11" max="11" width="0" style="1" hidden="1" customWidth="1"/>
    <col min="12" max="12" width="12.21875" style="1" hidden="1" customWidth="1"/>
    <col min="13" max="13" width="9.71875" style="1" hidden="1" customWidth="1"/>
    <col min="14" max="14" width="9.38671875" style="1" hidden="1" customWidth="1"/>
    <col min="15" max="15" width="0" style="1" hidden="1" customWidth="1"/>
    <col min="16" max="16384" width="8.77734375" style="1"/>
  </cols>
  <sheetData>
    <row r="1" spans="1:23" ht="15" x14ac:dyDescent="0.45">
      <c r="A1" s="120" t="s">
        <v>0</v>
      </c>
      <c r="B1" s="120"/>
      <c r="C1" s="120"/>
      <c r="D1" s="120"/>
      <c r="E1" s="120"/>
      <c r="F1" s="120"/>
      <c r="G1" s="120"/>
      <c r="H1" s="120"/>
      <c r="I1" s="120"/>
    </row>
    <row r="2" spans="1:23" s="2" customFormat="1" ht="15.35" x14ac:dyDescent="0.5">
      <c r="A2" s="2" t="s">
        <v>62</v>
      </c>
    </row>
    <row r="3" spans="1:23" ht="30" x14ac:dyDescent="0.45">
      <c r="B3" s="3" t="s">
        <v>1</v>
      </c>
      <c r="C3" s="3" t="s">
        <v>2</v>
      </c>
      <c r="D3" s="4" t="s">
        <v>3</v>
      </c>
      <c r="E3" s="121" t="s">
        <v>4</v>
      </c>
      <c r="F3" s="121"/>
      <c r="G3" s="121" t="s">
        <v>5</v>
      </c>
      <c r="H3" s="121"/>
      <c r="I3" s="121"/>
    </row>
    <row r="4" spans="1:23" ht="15.35" hidden="1" x14ac:dyDescent="0.45">
      <c r="B4" s="3" t="s">
        <v>6</v>
      </c>
      <c r="C4" s="5">
        <f>[1]TT!D34</f>
        <v>750000</v>
      </c>
      <c r="D4" s="6">
        <f>ROUND((8265000000/10000)*0.907/1.1,2)</f>
        <v>681486.82</v>
      </c>
      <c r="E4" s="122"/>
      <c r="F4" s="123"/>
      <c r="G4" s="122"/>
      <c r="H4" s="124"/>
      <c r="I4" s="123"/>
    </row>
    <row r="5" spans="1:23" ht="39.6" customHeight="1" x14ac:dyDescent="0.45">
      <c r="B5" s="7" t="s">
        <v>6</v>
      </c>
      <c r="C5" s="8"/>
      <c r="D5" s="8"/>
      <c r="E5" s="111"/>
      <c r="F5" s="111"/>
      <c r="G5" s="112"/>
      <c r="H5" s="113"/>
      <c r="I5" s="114"/>
    </row>
    <row r="6" spans="1:23" ht="30" x14ac:dyDescent="0.45">
      <c r="B6" s="9" t="s">
        <v>7</v>
      </c>
      <c r="C6" s="10"/>
      <c r="D6" s="10"/>
      <c r="E6" s="125"/>
      <c r="F6" s="125"/>
      <c r="G6" s="126"/>
      <c r="H6" s="126"/>
      <c r="I6" s="126"/>
      <c r="J6" s="11"/>
    </row>
    <row r="7" spans="1:23" ht="30" x14ac:dyDescent="0.45">
      <c r="B7" s="9" t="s">
        <v>8</v>
      </c>
      <c r="C7" s="8"/>
      <c r="D7" s="8"/>
      <c r="E7" s="117"/>
      <c r="F7" s="119"/>
      <c r="G7" s="127"/>
      <c r="H7" s="127"/>
      <c r="I7" s="127"/>
    </row>
    <row r="8" spans="1:23" ht="15.35" x14ac:dyDescent="0.45">
      <c r="B8" s="12" t="s">
        <v>9</v>
      </c>
      <c r="C8" s="13">
        <f>[1]TT!D34</f>
        <v>750000</v>
      </c>
      <c r="D8" s="14">
        <f>ROUND((6047000000/10000)*1.103/1.1,2)</f>
        <v>606349.18000000005</v>
      </c>
      <c r="E8" s="128">
        <f>D8*C8</f>
        <v>454761885000.00006</v>
      </c>
      <c r="F8" s="128"/>
      <c r="G8" s="129" t="s">
        <v>10</v>
      </c>
      <c r="H8" s="130"/>
      <c r="I8" s="131"/>
    </row>
    <row r="9" spans="1:23" ht="15.35" x14ac:dyDescent="0.45">
      <c r="B9" s="12" t="s">
        <v>11</v>
      </c>
      <c r="C9" s="13">
        <f>[1]TT!C29</f>
        <v>750000</v>
      </c>
      <c r="D9" s="14">
        <f>ROUND((4725000000/10000)*1.102/1.1,2)</f>
        <v>473359.09</v>
      </c>
      <c r="E9" s="107">
        <f>C8*D9</f>
        <v>355019317500</v>
      </c>
      <c r="F9" s="107"/>
      <c r="G9" s="132"/>
      <c r="H9" s="133"/>
      <c r="I9" s="134"/>
    </row>
    <row r="10" spans="1:23" ht="15.35" x14ac:dyDescent="0.45">
      <c r="B10" s="15" t="s">
        <v>12</v>
      </c>
      <c r="C10" s="13">
        <f>C8</f>
        <v>750000</v>
      </c>
      <c r="D10" s="14">
        <f>ROUND((368000000/10000)*1.102/1.1,2)</f>
        <v>36866.910000000003</v>
      </c>
      <c r="E10" s="107">
        <f>C10*D10</f>
        <v>27650182500.000004</v>
      </c>
      <c r="F10" s="107"/>
      <c r="G10" s="135"/>
      <c r="H10" s="136"/>
      <c r="I10" s="137"/>
    </row>
    <row r="11" spans="1:23" ht="24.6" customHeight="1" x14ac:dyDescent="0.45">
      <c r="B11" s="16"/>
      <c r="C11" s="17"/>
      <c r="D11" s="18"/>
      <c r="E11" s="18"/>
      <c r="F11" s="18"/>
      <c r="G11" s="19"/>
      <c r="H11" s="19"/>
      <c r="I11" s="19"/>
    </row>
    <row r="12" spans="1:23" ht="20.350000000000001" x14ac:dyDescent="0.65">
      <c r="A12" s="20" t="s">
        <v>13</v>
      </c>
      <c r="B12" s="21"/>
      <c r="C12" s="21"/>
      <c r="D12" s="21"/>
      <c r="E12" s="22"/>
      <c r="F12" s="23"/>
      <c r="G12" s="22"/>
      <c r="H12" s="24"/>
      <c r="I12" s="24"/>
      <c r="J12" s="25" t="s">
        <v>14</v>
      </c>
    </row>
    <row r="13" spans="1:23" x14ac:dyDescent="0.45">
      <c r="A13" s="108" t="s">
        <v>15</v>
      </c>
      <c r="B13" s="108" t="s">
        <v>16</v>
      </c>
      <c r="C13" s="99" t="s">
        <v>17</v>
      </c>
      <c r="D13" s="109" t="s">
        <v>18</v>
      </c>
      <c r="E13" s="110"/>
      <c r="F13" s="108" t="s">
        <v>19</v>
      </c>
      <c r="G13" s="108"/>
      <c r="H13" s="99" t="s">
        <v>20</v>
      </c>
      <c r="I13" s="99"/>
    </row>
    <row r="14" spans="1:23" s="28" customFormat="1" ht="27.35" x14ac:dyDescent="0.5">
      <c r="A14" s="108"/>
      <c r="B14" s="108"/>
      <c r="C14" s="99"/>
      <c r="D14" s="26" t="s">
        <v>21</v>
      </c>
      <c r="E14" s="27" t="s">
        <v>22</v>
      </c>
      <c r="F14" s="26" t="s">
        <v>21</v>
      </c>
      <c r="G14" s="27" t="s">
        <v>22</v>
      </c>
      <c r="H14" s="26" t="s">
        <v>23</v>
      </c>
      <c r="I14" s="27" t="s">
        <v>24</v>
      </c>
    </row>
    <row r="15" spans="1:23" s="31" customFormat="1" ht="16.95" customHeight="1" x14ac:dyDescent="0.5">
      <c r="A15" s="29"/>
      <c r="B15" s="30" t="s">
        <v>25</v>
      </c>
      <c r="C15" s="30" t="s">
        <v>26</v>
      </c>
      <c r="D15" s="30" t="s">
        <v>27</v>
      </c>
      <c r="E15" s="30" t="s">
        <v>28</v>
      </c>
      <c r="F15" s="30" t="s">
        <v>29</v>
      </c>
      <c r="G15" s="30" t="s">
        <v>30</v>
      </c>
      <c r="H15" s="30" t="s">
        <v>31</v>
      </c>
      <c r="I15" s="30" t="s">
        <v>32</v>
      </c>
    </row>
    <row r="16" spans="1:23" s="38" customFormat="1" ht="15.35" x14ac:dyDescent="0.5">
      <c r="A16" s="32">
        <v>1</v>
      </c>
      <c r="B16" s="33" t="s">
        <v>33</v>
      </c>
      <c r="C16" s="34">
        <f>E$9+$E$10</f>
        <v>382669500000</v>
      </c>
      <c r="D16" s="34">
        <v>500000000000</v>
      </c>
      <c r="E16" s="35">
        <v>1.5640000000000001</v>
      </c>
      <c r="F16" s="34">
        <v>200000000000</v>
      </c>
      <c r="G16" s="35">
        <v>1.9470000000000001</v>
      </c>
      <c r="H16" s="36">
        <f>+G16-((G16-E16)*(C16-F16)/(D16-F16))</f>
        <v>1.7137919383333333</v>
      </c>
      <c r="I16" s="37">
        <f>H16*C16/100</f>
        <v>6558159041.460475</v>
      </c>
      <c r="K16" s="100" t="s">
        <v>34</v>
      </c>
      <c r="L16" s="100"/>
      <c r="M16" s="100"/>
      <c r="N16" s="100"/>
      <c r="O16" s="100"/>
      <c r="P16" s="2"/>
      <c r="Q16" s="2"/>
      <c r="R16"/>
      <c r="S16"/>
      <c r="T16"/>
      <c r="U16"/>
      <c r="V16"/>
      <c r="W16"/>
    </row>
    <row r="17" spans="1:23" s="38" customFormat="1" ht="28.35" x14ac:dyDescent="0.5">
      <c r="A17" s="32">
        <v>2</v>
      </c>
      <c r="B17" s="39" t="s">
        <v>35</v>
      </c>
      <c r="C17" s="34">
        <f>E$9+$E$10</f>
        <v>382669500000</v>
      </c>
      <c r="D17" s="34">
        <v>500000000000</v>
      </c>
      <c r="E17" s="35">
        <v>0.16300000000000001</v>
      </c>
      <c r="F17" s="34">
        <v>200000000000</v>
      </c>
      <c r="G17" s="35">
        <v>0.20599999999999999</v>
      </c>
      <c r="H17" s="36">
        <f>+G17-((G17-E17)*(C17-F17)/(D17-F17))</f>
        <v>0.17981737166666667</v>
      </c>
      <c r="I17" s="37">
        <f t="shared" ref="I17:I28" si="0">H17*C17/100</f>
        <v>688106237.06997502</v>
      </c>
      <c r="K17" s="40" t="s">
        <v>36</v>
      </c>
      <c r="L17" s="40">
        <v>3</v>
      </c>
      <c r="M17" s="40">
        <v>7</v>
      </c>
      <c r="N17" s="40">
        <v>15</v>
      </c>
      <c r="O17" s="40">
        <v>2500</v>
      </c>
      <c r="P17" s="2"/>
      <c r="Q17" s="2"/>
      <c r="R17"/>
      <c r="S17"/>
      <c r="T17"/>
      <c r="U17"/>
      <c r="V17"/>
      <c r="W17"/>
    </row>
    <row r="18" spans="1:23" s="38" customFormat="1" ht="15.35" x14ac:dyDescent="0.5">
      <c r="A18" s="32">
        <v>3</v>
      </c>
      <c r="B18" s="39" t="s">
        <v>37</v>
      </c>
      <c r="C18" s="34">
        <f>E$9+$E$10</f>
        <v>382669500000</v>
      </c>
      <c r="D18" s="34">
        <v>500000000000</v>
      </c>
      <c r="E18" s="35">
        <v>0.46600000000000003</v>
      </c>
      <c r="F18" s="34">
        <v>200000000000</v>
      </c>
      <c r="G18" s="35">
        <v>0.51500000000000001</v>
      </c>
      <c r="H18" s="36">
        <f>+G18-((G18-E18)*(C18-F18)/(D18-F18))</f>
        <v>0.48516398166666669</v>
      </c>
      <c r="I18" s="37">
        <f t="shared" si="0"/>
        <v>1856574582.8239253</v>
      </c>
      <c r="K18" s="40" t="s">
        <v>38</v>
      </c>
      <c r="L18" s="40">
        <v>4.8</v>
      </c>
      <c r="M18" s="40">
        <v>4.3</v>
      </c>
      <c r="N18" s="40">
        <v>3.8</v>
      </c>
      <c r="O18" s="41">
        <f>M19*(O17-M17)+M18</f>
        <v>-151.51249999999999</v>
      </c>
      <c r="P18" s="2"/>
      <c r="Q18" s="2"/>
      <c r="R18"/>
      <c r="S18"/>
      <c r="T18"/>
      <c r="U18"/>
      <c r="V18"/>
      <c r="W18"/>
    </row>
    <row r="19" spans="1:23" s="38" customFormat="1" ht="15.35" x14ac:dyDescent="0.5">
      <c r="A19" s="42">
        <v>4</v>
      </c>
      <c r="B19" s="43" t="s">
        <v>34</v>
      </c>
      <c r="C19" s="34">
        <f t="shared" ref="C19:C22" si="1">E$9+$E$10</f>
        <v>382669500000</v>
      </c>
      <c r="D19" s="44" t="s">
        <v>39</v>
      </c>
      <c r="E19" s="42" t="s">
        <v>39</v>
      </c>
      <c r="F19" s="42" t="s">
        <v>39</v>
      </c>
      <c r="G19" s="42" t="s">
        <v>39</v>
      </c>
      <c r="H19" s="42" t="s">
        <v>39</v>
      </c>
      <c r="I19" s="45">
        <v>0</v>
      </c>
      <c r="K19" s="40"/>
      <c r="L19" s="40"/>
      <c r="M19" s="40">
        <f>(N18-M18)/(N17-M17)</f>
        <v>-6.25E-2</v>
      </c>
      <c r="N19" s="40"/>
      <c r="O19" s="40"/>
      <c r="P19" s="2"/>
      <c r="Q19" s="2"/>
      <c r="R19"/>
      <c r="S19"/>
      <c r="T19"/>
      <c r="U19"/>
      <c r="V19"/>
      <c r="W19"/>
    </row>
    <row r="20" spans="1:23" s="38" customFormat="1" ht="28.35" x14ac:dyDescent="0.5">
      <c r="A20" s="32">
        <v>5</v>
      </c>
      <c r="B20" s="39" t="s">
        <v>40</v>
      </c>
      <c r="C20" s="34">
        <f>E9</f>
        <v>355019317500</v>
      </c>
      <c r="D20" s="34">
        <v>500000000000</v>
      </c>
      <c r="E20" s="35">
        <v>0.8</v>
      </c>
      <c r="F20" s="34">
        <v>200000000000</v>
      </c>
      <c r="G20" s="35">
        <v>0.56000000000000005</v>
      </c>
      <c r="H20" s="36">
        <f>+G20-((G20-E20)*(C20-F20)/(D20-F20))</f>
        <v>0.68401545400000008</v>
      </c>
      <c r="I20" s="37">
        <f t="shared" si="0"/>
        <v>2428386996.3853269</v>
      </c>
      <c r="P20" s="2"/>
      <c r="Q20" s="2"/>
      <c r="R20"/>
      <c r="S20"/>
      <c r="T20"/>
      <c r="U20"/>
      <c r="V20"/>
      <c r="W20"/>
    </row>
    <row r="21" spans="1:23" s="38" customFormat="1" ht="28.35" x14ac:dyDescent="0.5">
      <c r="A21" s="32">
        <v>6</v>
      </c>
      <c r="B21" s="39" t="s">
        <v>41</v>
      </c>
      <c r="C21" s="34">
        <f t="shared" si="1"/>
        <v>382669500000</v>
      </c>
      <c r="D21" s="34">
        <v>500000000000</v>
      </c>
      <c r="E21" s="35">
        <v>0.46600000000000003</v>
      </c>
      <c r="F21" s="34">
        <v>200000000000</v>
      </c>
      <c r="G21" s="35">
        <v>0.97</v>
      </c>
      <c r="H21" s="36">
        <f t="shared" ref="H21:H26" si="2">+G21-((G21-E21)*(C21-F21)/(D21-F21))</f>
        <v>0.66311523999999999</v>
      </c>
      <c r="I21" s="37">
        <f t="shared" si="0"/>
        <v>2537539773.3318</v>
      </c>
      <c r="K21" s="101" t="s">
        <v>42</v>
      </c>
      <c r="L21" s="101"/>
      <c r="M21" s="101"/>
      <c r="N21" s="101"/>
      <c r="P21" s="2"/>
      <c r="Q21" s="2"/>
      <c r="R21"/>
      <c r="S21"/>
      <c r="T21"/>
      <c r="U21"/>
      <c r="V21"/>
      <c r="W21"/>
    </row>
    <row r="22" spans="1:23" s="38" customFormat="1" ht="28.35" x14ac:dyDescent="0.5">
      <c r="A22" s="32">
        <v>7</v>
      </c>
      <c r="B22" s="39" t="s">
        <v>43</v>
      </c>
      <c r="C22" s="34">
        <f t="shared" si="1"/>
        <v>382669500000</v>
      </c>
      <c r="D22" s="34">
        <v>500000000000</v>
      </c>
      <c r="E22" s="35">
        <v>0.08</v>
      </c>
      <c r="F22" s="34">
        <v>200000000000</v>
      </c>
      <c r="G22" s="35">
        <v>0.107</v>
      </c>
      <c r="H22" s="36">
        <f t="shared" si="2"/>
        <v>9.0559744999999997E-2</v>
      </c>
      <c r="I22" s="37">
        <f t="shared" si="0"/>
        <v>346544523.39277494</v>
      </c>
      <c r="K22" s="40" t="s">
        <v>36</v>
      </c>
      <c r="L22" s="40">
        <v>1000</v>
      </c>
      <c r="M22" s="40">
        <v>2000</v>
      </c>
      <c r="N22" s="40">
        <v>2500</v>
      </c>
      <c r="P22" s="2"/>
      <c r="Q22" s="2"/>
      <c r="R22"/>
      <c r="S22"/>
      <c r="T22"/>
      <c r="U22"/>
      <c r="V22"/>
      <c r="W22"/>
    </row>
    <row r="23" spans="1:23" s="38" customFormat="1" ht="15.35" x14ac:dyDescent="0.5">
      <c r="A23" s="32">
        <v>8</v>
      </c>
      <c r="B23" s="39" t="s">
        <v>44</v>
      </c>
      <c r="C23" s="34">
        <f>$E$9</f>
        <v>355019317500</v>
      </c>
      <c r="D23" s="34">
        <v>500000000000</v>
      </c>
      <c r="E23" s="35">
        <v>8.6999999999999994E-2</v>
      </c>
      <c r="F23" s="34">
        <v>200000000000</v>
      </c>
      <c r="G23" s="35">
        <v>3.7999999999999999E-2</v>
      </c>
      <c r="H23" s="36">
        <f t="shared" si="2"/>
        <v>6.3319821858333333E-2</v>
      </c>
      <c r="I23" s="37">
        <f t="shared" si="0"/>
        <v>224797599.40367082</v>
      </c>
      <c r="K23" s="40" t="s">
        <v>38</v>
      </c>
      <c r="L23" s="40">
        <v>5.1999999999999998E-2</v>
      </c>
      <c r="M23" s="40">
        <v>4.1000000000000002E-2</v>
      </c>
      <c r="N23" s="46">
        <f>L24*(N22-L22)+L23</f>
        <v>3.5500000000000004E-2</v>
      </c>
      <c r="Q23" s="2"/>
      <c r="R23"/>
      <c r="S23"/>
      <c r="T23"/>
      <c r="U23"/>
      <c r="V23"/>
      <c r="W23"/>
    </row>
    <row r="24" spans="1:23" s="38" customFormat="1" ht="15.35" x14ac:dyDescent="0.5">
      <c r="A24" s="32">
        <v>9</v>
      </c>
      <c r="B24" s="39" t="s">
        <v>45</v>
      </c>
      <c r="C24" s="34">
        <f t="shared" ref="C24:C27" si="3">$E$9</f>
        <v>355019317500</v>
      </c>
      <c r="D24" s="34">
        <v>500000000000</v>
      </c>
      <c r="E24" s="35">
        <v>0.46600000000000003</v>
      </c>
      <c r="F24" s="34">
        <v>200000000000</v>
      </c>
      <c r="G24" s="35">
        <v>0.113</v>
      </c>
      <c r="H24" s="36">
        <f t="shared" si="2"/>
        <v>0.29540606359166671</v>
      </c>
      <c r="I24" s="37">
        <f t="shared" si="0"/>
        <v>1048748590.8167511</v>
      </c>
      <c r="K24" s="47"/>
      <c r="L24" s="48">
        <f>(M23-L23)/(M22-L22)</f>
        <v>-1.0999999999999996E-5</v>
      </c>
      <c r="M24" s="49"/>
      <c r="N24" s="49"/>
      <c r="O24" s="50"/>
      <c r="P24" s="50"/>
      <c r="Q24" s="2"/>
      <c r="R24"/>
      <c r="S24"/>
      <c r="T24"/>
      <c r="U24"/>
      <c r="V24"/>
      <c r="W24"/>
    </row>
    <row r="25" spans="1:23" s="38" customFormat="1" ht="28" x14ac:dyDescent="0.5">
      <c r="A25" s="51">
        <v>10</v>
      </c>
      <c r="B25" s="33" t="s">
        <v>42</v>
      </c>
      <c r="C25" s="34">
        <f t="shared" si="3"/>
        <v>355019317500</v>
      </c>
      <c r="D25" s="34">
        <v>500000000000</v>
      </c>
      <c r="E25" s="35">
        <v>6.7000000000000004E-2</v>
      </c>
      <c r="F25" s="34">
        <v>200000000000</v>
      </c>
      <c r="G25" s="35">
        <v>9.6000000000000002E-2</v>
      </c>
      <c r="H25" s="36">
        <f t="shared" si="2"/>
        <v>8.101479930833333E-2</v>
      </c>
      <c r="I25" s="37">
        <f>H25*C25/100</f>
        <v>287618187.57843971</v>
      </c>
      <c r="O25" s="52"/>
      <c r="P25" s="52"/>
      <c r="Q25"/>
      <c r="R25"/>
      <c r="S25"/>
      <c r="T25"/>
      <c r="U25"/>
      <c r="V25"/>
      <c r="W25"/>
    </row>
    <row r="26" spans="1:23" s="38" customFormat="1" ht="28" x14ac:dyDescent="0.5">
      <c r="A26" s="51">
        <v>11</v>
      </c>
      <c r="B26" s="33" t="s">
        <v>46</v>
      </c>
      <c r="C26" s="70">
        <f>$E$10</f>
        <v>27650182500.000004</v>
      </c>
      <c r="D26" s="70">
        <v>50000000000</v>
      </c>
      <c r="E26" s="71">
        <v>0.28000000000000003</v>
      </c>
      <c r="F26" s="70">
        <v>20000000000</v>
      </c>
      <c r="G26" s="71">
        <v>0.49399999999999999</v>
      </c>
      <c r="H26" s="72">
        <f t="shared" si="2"/>
        <v>0.43942869816666663</v>
      </c>
      <c r="I26" s="73">
        <f>H26*C26/100</f>
        <v>121502837.0004575</v>
      </c>
      <c r="K26" s="102" t="s">
        <v>46</v>
      </c>
      <c r="L26" s="102"/>
      <c r="M26" s="102"/>
      <c r="N26" s="102"/>
      <c r="O26" s="2"/>
      <c r="P26" s="2"/>
      <c r="Q26"/>
      <c r="R26"/>
      <c r="S26"/>
      <c r="T26"/>
      <c r="U26"/>
      <c r="V26"/>
      <c r="W26"/>
    </row>
    <row r="27" spans="1:23" s="38" customFormat="1" ht="15.35" x14ac:dyDescent="0.5">
      <c r="A27" s="32">
        <v>12</v>
      </c>
      <c r="B27" s="39" t="s">
        <v>47</v>
      </c>
      <c r="C27" s="34">
        <f t="shared" si="3"/>
        <v>355019317500</v>
      </c>
      <c r="D27" s="34">
        <v>500000000000</v>
      </c>
      <c r="E27" s="35">
        <v>1.3009999999999999</v>
      </c>
      <c r="F27" s="34">
        <v>200000000000</v>
      </c>
      <c r="G27" s="35">
        <v>1.6040000000000001</v>
      </c>
      <c r="H27" s="36">
        <f>+G27-((G27-E27)*(C27-F27)/(D27-F27))</f>
        <v>1.4474304893250001</v>
      </c>
      <c r="I27" s="37">
        <f>H27*C27/100</f>
        <v>5138657844.4885254</v>
      </c>
      <c r="K27" s="40" t="s">
        <v>36</v>
      </c>
      <c r="L27" s="40">
        <v>1000</v>
      </c>
      <c r="M27" s="40">
        <v>2000</v>
      </c>
      <c r="N27" s="40">
        <v>2500</v>
      </c>
      <c r="O27" s="2"/>
      <c r="P27" s="2"/>
      <c r="Q27"/>
      <c r="R27"/>
      <c r="S27"/>
      <c r="T27"/>
      <c r="U27"/>
      <c r="V27"/>
      <c r="W27"/>
    </row>
    <row r="28" spans="1:23" s="38" customFormat="1" ht="15.35" x14ac:dyDescent="0.5">
      <c r="A28" s="51">
        <v>13</v>
      </c>
      <c r="B28" s="39" t="s">
        <v>48</v>
      </c>
      <c r="C28" s="70">
        <f>$E$10</f>
        <v>27650182500.000004</v>
      </c>
      <c r="D28" s="70">
        <v>50000000000</v>
      </c>
      <c r="E28" s="71">
        <v>0.59599999999999997</v>
      </c>
      <c r="F28" s="70">
        <v>20000000000</v>
      </c>
      <c r="G28" s="71">
        <v>0.71499999999999997</v>
      </c>
      <c r="H28" s="72">
        <f>+G28-((G28-E28)*(C28-F28)/(D28-F28))</f>
        <v>0.68465427608333329</v>
      </c>
      <c r="I28" s="73">
        <f t="shared" si="0"/>
        <v>189308156.83109555</v>
      </c>
      <c r="K28" s="40" t="s">
        <v>38</v>
      </c>
      <c r="L28" s="40">
        <v>8.4000000000000005E-2</v>
      </c>
      <c r="M28" s="40">
        <v>6.6000000000000003E-2</v>
      </c>
      <c r="N28" s="53">
        <f>L29*(N27-L27)+L28</f>
        <v>5.7000000000000009E-2</v>
      </c>
      <c r="O28" s="2"/>
      <c r="P28" s="2"/>
      <c r="Q28"/>
      <c r="R28"/>
      <c r="S28"/>
      <c r="T28"/>
      <c r="U28"/>
      <c r="V28"/>
      <c r="W28"/>
    </row>
    <row r="29" spans="1:23" s="38" customFormat="1" ht="15.35" x14ac:dyDescent="0.5">
      <c r="A29" s="32">
        <v>14</v>
      </c>
      <c r="B29" s="39" t="s">
        <v>49</v>
      </c>
      <c r="C29" s="34">
        <f>E$9+$E$10</f>
        <v>382669500000</v>
      </c>
      <c r="D29" s="34">
        <v>500000000000</v>
      </c>
      <c r="E29" s="35">
        <v>5.2999999999999999E-2</v>
      </c>
      <c r="F29" s="34">
        <v>300000000000</v>
      </c>
      <c r="G29" s="35">
        <v>6.5000000000000002E-2</v>
      </c>
      <c r="H29" s="36">
        <f>+G29-((G29-E29)*(C29-F29)/(D29-F29))</f>
        <v>6.0039830000000002E-2</v>
      </c>
      <c r="I29" s="37">
        <f>H29*C29/100</f>
        <v>229754117.26185</v>
      </c>
      <c r="K29" s="40"/>
      <c r="L29" s="40">
        <f>(M28-L28)/(M27-L27)</f>
        <v>-1.8E-5</v>
      </c>
      <c r="M29" s="40"/>
      <c r="N29" s="40"/>
      <c r="O29" s="2"/>
      <c r="P29" s="2"/>
      <c r="Q29"/>
      <c r="R29"/>
      <c r="S29"/>
      <c r="T29"/>
      <c r="U29"/>
      <c r="V29"/>
      <c r="W29"/>
    </row>
    <row r="30" spans="1:23" ht="15.35" x14ac:dyDescent="0.5">
      <c r="A30" s="117" t="s">
        <v>61</v>
      </c>
      <c r="B30" s="118"/>
      <c r="C30" s="118"/>
      <c r="D30" s="118"/>
      <c r="E30" s="118"/>
      <c r="F30" s="118"/>
      <c r="G30" s="118"/>
      <c r="H30" s="119"/>
      <c r="I30" s="78">
        <f>SUM(I16:I29)</f>
        <v>21655698487.845066</v>
      </c>
      <c r="K30" s="2"/>
      <c r="L30" s="2"/>
      <c r="M30" s="2"/>
      <c r="N30" s="2"/>
      <c r="O30" s="2"/>
      <c r="P30" s="2"/>
      <c r="Q30"/>
      <c r="R30"/>
      <c r="S30"/>
      <c r="T30"/>
      <c r="U30"/>
      <c r="V30"/>
      <c r="W30"/>
    </row>
    <row r="31" spans="1:23" ht="15.35" x14ac:dyDescent="0.5">
      <c r="A31" s="54" t="s">
        <v>50</v>
      </c>
      <c r="B31" s="55"/>
      <c r="C31" s="55"/>
      <c r="D31" s="55"/>
      <c r="E31" s="56"/>
      <c r="F31" s="55"/>
      <c r="G31" s="56"/>
      <c r="H31" s="55"/>
      <c r="I31" s="55"/>
      <c r="O31" s="2"/>
      <c r="P31" s="2"/>
      <c r="Q31"/>
      <c r="R31"/>
      <c r="S31"/>
      <c r="T31"/>
      <c r="U31"/>
      <c r="V31"/>
      <c r="W31"/>
    </row>
    <row r="32" spans="1:23" ht="15.35" x14ac:dyDescent="0.5">
      <c r="A32" s="1" t="s">
        <v>51</v>
      </c>
      <c r="O32" s="2"/>
      <c r="P32" s="2"/>
      <c r="Q32"/>
      <c r="S32"/>
      <c r="T32"/>
      <c r="U32"/>
      <c r="V32"/>
      <c r="W32"/>
    </row>
    <row r="33" spans="1:23" ht="15.35" x14ac:dyDescent="0.5">
      <c r="F33" s="57"/>
      <c r="G33" s="58"/>
      <c r="O33" s="2"/>
      <c r="P33" s="2"/>
      <c r="Q33"/>
      <c r="S33"/>
      <c r="T33"/>
      <c r="U33"/>
      <c r="V33"/>
      <c r="W33"/>
    </row>
    <row r="34" spans="1:23" ht="15.35" x14ac:dyDescent="0.5">
      <c r="F34" s="57"/>
      <c r="G34" s="58"/>
      <c r="O34" s="2"/>
      <c r="P34" s="2"/>
      <c r="Q34"/>
      <c r="S34"/>
      <c r="T34"/>
      <c r="U34"/>
      <c r="V34"/>
      <c r="W34"/>
    </row>
    <row r="35" spans="1:23" ht="15.35" x14ac:dyDescent="0.5">
      <c r="A35" s="59" t="s">
        <v>15</v>
      </c>
      <c r="B35" s="103" t="s">
        <v>52</v>
      </c>
      <c r="C35" s="103"/>
      <c r="D35" s="60" t="s">
        <v>24</v>
      </c>
      <c r="E35" s="61"/>
      <c r="F35" s="62"/>
      <c r="G35" s="57"/>
      <c r="I35" s="2"/>
      <c r="J35" s="2"/>
      <c r="K35" s="2"/>
      <c r="L35" s="2"/>
      <c r="M35"/>
      <c r="O35"/>
      <c r="P35"/>
      <c r="Q35"/>
      <c r="R35"/>
      <c r="S35"/>
    </row>
    <row r="36" spans="1:23" ht="15.35" x14ac:dyDescent="0.5">
      <c r="A36" s="41" t="s">
        <v>53</v>
      </c>
      <c r="B36" s="104" t="s">
        <v>54</v>
      </c>
      <c r="C36" s="104"/>
      <c r="D36" s="63">
        <f>[1]TT!C29</f>
        <v>750000</v>
      </c>
      <c r="E36" s="61"/>
      <c r="F36" s="61"/>
      <c r="G36" s="2"/>
      <c r="I36" s="2"/>
      <c r="J36" s="2"/>
      <c r="K36" s="2"/>
      <c r="L36" s="2"/>
      <c r="M36"/>
      <c r="O36"/>
      <c r="P36"/>
      <c r="Q36"/>
      <c r="R36"/>
      <c r="S36"/>
    </row>
    <row r="37" spans="1:23" ht="120.35" customHeight="1" x14ac:dyDescent="0.5">
      <c r="A37" s="59" t="s">
        <v>55</v>
      </c>
      <c r="B37" s="105" t="s">
        <v>59</v>
      </c>
      <c r="C37" s="105"/>
      <c r="D37" s="64"/>
      <c r="E37" s="61"/>
      <c r="F37" s="61"/>
      <c r="G37" s="1"/>
      <c r="O37"/>
      <c r="P37"/>
      <c r="Q37"/>
      <c r="R37"/>
      <c r="S37"/>
    </row>
    <row r="38" spans="1:23" ht="27" customHeight="1" x14ac:dyDescent="0.5">
      <c r="A38" s="65">
        <v>1</v>
      </c>
      <c r="B38" s="106" t="s">
        <v>56</v>
      </c>
      <c r="C38" s="106"/>
      <c r="D38" s="66">
        <f>E8</f>
        <v>454761885000.00006</v>
      </c>
      <c r="E38" s="61"/>
      <c r="F38" s="61"/>
      <c r="G38" s="1"/>
      <c r="O38"/>
      <c r="P38"/>
      <c r="Q38"/>
      <c r="R38"/>
      <c r="S38"/>
    </row>
    <row r="39" spans="1:23" ht="13.2" customHeight="1" x14ac:dyDescent="0.5">
      <c r="A39" s="65">
        <v>2</v>
      </c>
      <c r="B39" s="106" t="s">
        <v>13</v>
      </c>
      <c r="C39" s="106"/>
      <c r="D39" s="66">
        <f>I30</f>
        <v>21655698487.845066</v>
      </c>
      <c r="E39" s="61"/>
      <c r="F39" s="61"/>
      <c r="G39" s="1"/>
      <c r="O39"/>
      <c r="P39"/>
      <c r="Q39"/>
      <c r="R39"/>
      <c r="S39"/>
    </row>
    <row r="40" spans="1:23" ht="15.35" x14ac:dyDescent="0.5">
      <c r="A40" s="65">
        <v>3</v>
      </c>
      <c r="B40" s="106" t="s">
        <v>50</v>
      </c>
      <c r="C40" s="106"/>
      <c r="D40" s="66">
        <f>5%*D38</f>
        <v>22738094250.000004</v>
      </c>
      <c r="E40" s="74">
        <v>0.05</v>
      </c>
      <c r="F40" s="61"/>
      <c r="G40" s="1"/>
      <c r="O40"/>
      <c r="P40"/>
      <c r="Q40"/>
      <c r="R40"/>
      <c r="S40"/>
    </row>
    <row r="41" spans="1:23" ht="15.35" x14ac:dyDescent="0.5">
      <c r="A41" s="67"/>
      <c r="B41" s="97" t="s">
        <v>57</v>
      </c>
      <c r="C41" s="98"/>
      <c r="D41" s="68">
        <f>SUM(D38:D40)</f>
        <v>499155677737.84515</v>
      </c>
      <c r="E41" s="69"/>
      <c r="F41" s="61"/>
      <c r="L41" s="2"/>
      <c r="M41" s="2"/>
      <c r="N41" s="2"/>
      <c r="O41" s="2"/>
      <c r="P41" s="2"/>
      <c r="Q41" s="2"/>
      <c r="R41"/>
      <c r="S41"/>
      <c r="T41"/>
      <c r="U41"/>
      <c r="V41"/>
      <c r="W41"/>
    </row>
    <row r="42" spans="1:23" ht="15.35" hidden="1" x14ac:dyDescent="0.5">
      <c r="A42" s="67"/>
      <c r="B42" s="97" t="s">
        <v>58</v>
      </c>
      <c r="C42" s="98"/>
      <c r="D42" s="68">
        <f>SUM(D39:D41)</f>
        <v>543549470475.69025</v>
      </c>
      <c r="E42" s="69"/>
      <c r="F42" s="61"/>
      <c r="L42" s="2"/>
      <c r="M42" s="2"/>
      <c r="N42" s="2"/>
      <c r="O42" s="2"/>
      <c r="P42" s="2"/>
      <c r="Q42" s="2"/>
      <c r="R42"/>
      <c r="S42"/>
      <c r="T42"/>
      <c r="U42"/>
      <c r="V42"/>
      <c r="W42"/>
    </row>
    <row r="43" spans="1:23" ht="15.35" x14ac:dyDescent="0.5">
      <c r="A43" s="75"/>
      <c r="B43" s="76"/>
      <c r="C43" s="76"/>
      <c r="D43" s="77"/>
      <c r="E43" s="69"/>
      <c r="F43" s="61"/>
      <c r="L43" s="2"/>
      <c r="M43" s="2"/>
      <c r="N43" s="2"/>
      <c r="O43" s="2"/>
      <c r="P43" s="2"/>
      <c r="Q43" s="2"/>
      <c r="R43"/>
      <c r="S43"/>
      <c r="T43"/>
      <c r="U43"/>
      <c r="V43"/>
      <c r="W43"/>
    </row>
    <row r="44" spans="1:23" ht="48.7" customHeight="1" x14ac:dyDescent="0.45">
      <c r="A44" s="115" t="s">
        <v>60</v>
      </c>
      <c r="B44" s="116"/>
      <c r="C44" s="116"/>
      <c r="D44" s="116"/>
      <c r="E44" s="116"/>
      <c r="F44" s="116"/>
      <c r="G44" s="116"/>
      <c r="H44" s="116"/>
      <c r="I44" s="116"/>
    </row>
  </sheetData>
  <mergeCells count="34">
    <mergeCell ref="E5:F5"/>
    <mergeCell ref="G5:I5"/>
    <mergeCell ref="A44:I44"/>
    <mergeCell ref="A30:H30"/>
    <mergeCell ref="A1:I1"/>
    <mergeCell ref="E3:F3"/>
    <mergeCell ref="G3:I3"/>
    <mergeCell ref="E4:F4"/>
    <mergeCell ref="G4:I4"/>
    <mergeCell ref="E6:F6"/>
    <mergeCell ref="G6:I6"/>
    <mergeCell ref="E7:F7"/>
    <mergeCell ref="G7:I7"/>
    <mergeCell ref="E8:F8"/>
    <mergeCell ref="G8:I10"/>
    <mergeCell ref="E9:F9"/>
    <mergeCell ref="E10:F10"/>
    <mergeCell ref="A13:A14"/>
    <mergeCell ref="B13:B14"/>
    <mergeCell ref="C13:C14"/>
    <mergeCell ref="D13:E13"/>
    <mergeCell ref="F13:G13"/>
    <mergeCell ref="B42:C42"/>
    <mergeCell ref="H13:I13"/>
    <mergeCell ref="K16:O16"/>
    <mergeCell ref="K21:N21"/>
    <mergeCell ref="K26:N26"/>
    <mergeCell ref="B35:C35"/>
    <mergeCell ref="B36:C36"/>
    <mergeCell ref="B37:C37"/>
    <mergeCell ref="B38:C38"/>
    <mergeCell ref="B39:C39"/>
    <mergeCell ref="B40:C40"/>
    <mergeCell ref="B41:C41"/>
  </mergeCells>
  <pageMargins left="0.7" right="0.7" top="0.75" bottom="0.75" header="0.3" footer="0.3"/>
  <pageSetup paperSize="9" scale="5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F4C3D-10A1-4340-886A-5CAAC3E060D8}">
  <dimension ref="A1:O11"/>
  <sheetViews>
    <sheetView tabSelected="1" view="pageBreakPreview" zoomScale="60" zoomScaleNormal="100" workbookViewId="0">
      <selection activeCell="F7" sqref="F7"/>
    </sheetView>
  </sheetViews>
  <sheetFormatPr defaultRowHeight="15.35" x14ac:dyDescent="0.5"/>
  <cols>
    <col min="1" max="1" width="4.77734375" style="85" customWidth="1"/>
    <col min="2" max="2" width="28.0546875" customWidth="1"/>
    <col min="3" max="3" width="11.44140625" style="81" bestFit="1" customWidth="1"/>
    <col min="4" max="4" width="13.21875" style="81" hidden="1" customWidth="1"/>
    <col min="6" max="6" width="13.5546875" customWidth="1"/>
    <col min="7" max="7" width="12.33203125" hidden="1" customWidth="1"/>
    <col min="8" max="8" width="16.21875" customWidth="1"/>
    <col min="9" max="9" width="8.38671875" customWidth="1"/>
    <col min="10" max="10" width="16.21875" customWidth="1"/>
    <col min="11" max="11" width="17.71875" bestFit="1" customWidth="1"/>
    <col min="12" max="12" width="17.1640625" customWidth="1"/>
    <col min="13" max="13" width="17.71875" bestFit="1" customWidth="1"/>
    <col min="14" max="15" width="17.1640625" hidden="1" customWidth="1"/>
  </cols>
  <sheetData>
    <row r="1" spans="1:15" ht="32.35" customHeight="1" x14ac:dyDescent="0.5">
      <c r="A1" s="139" t="s">
        <v>83</v>
      </c>
      <c r="B1" s="139"/>
      <c r="C1" s="139"/>
      <c r="D1" s="139"/>
      <c r="E1" s="139"/>
      <c r="F1" s="139"/>
      <c r="G1" s="139"/>
      <c r="H1" s="139"/>
      <c r="I1" s="139"/>
      <c r="J1" s="139"/>
      <c r="K1" s="139"/>
      <c r="L1" s="139"/>
      <c r="M1" s="139"/>
    </row>
    <row r="2" spans="1:15" s="89" customFormat="1" ht="75" x14ac:dyDescent="0.5">
      <c r="A2" s="80" t="s">
        <v>15</v>
      </c>
      <c r="B2" s="80" t="s">
        <v>16</v>
      </c>
      <c r="C2" s="94" t="s">
        <v>80</v>
      </c>
      <c r="D2" s="94" t="s">
        <v>77</v>
      </c>
      <c r="E2" s="80" t="s">
        <v>81</v>
      </c>
      <c r="F2" s="80" t="s">
        <v>71</v>
      </c>
      <c r="G2" s="80" t="s">
        <v>70</v>
      </c>
      <c r="H2" s="80" t="s">
        <v>75</v>
      </c>
      <c r="I2" s="80" t="s">
        <v>74</v>
      </c>
      <c r="J2" s="80" t="s">
        <v>73</v>
      </c>
      <c r="K2" s="80" t="s">
        <v>84</v>
      </c>
      <c r="L2" s="80" t="s">
        <v>85</v>
      </c>
      <c r="M2" s="80" t="s">
        <v>86</v>
      </c>
      <c r="N2" s="80" t="s">
        <v>78</v>
      </c>
      <c r="O2" s="80" t="s">
        <v>79</v>
      </c>
    </row>
    <row r="3" spans="1:15" s="88" customFormat="1" ht="15" x14ac:dyDescent="0.45">
      <c r="A3" s="79" t="s">
        <v>55</v>
      </c>
      <c r="B3" s="86" t="s">
        <v>54</v>
      </c>
      <c r="C3" s="87">
        <v>15273.8</v>
      </c>
      <c r="D3" s="87"/>
      <c r="E3" s="79" t="s">
        <v>63</v>
      </c>
      <c r="F3" s="86"/>
      <c r="G3" s="86"/>
      <c r="H3" s="86"/>
      <c r="I3" s="86"/>
      <c r="J3" s="86"/>
      <c r="K3" s="92"/>
      <c r="L3" s="92"/>
      <c r="M3" s="92"/>
      <c r="N3" s="92"/>
      <c r="O3" s="92"/>
    </row>
    <row r="4" spans="1:15" s="88" customFormat="1" ht="15" x14ac:dyDescent="0.45">
      <c r="A4" s="79" t="s">
        <v>67</v>
      </c>
      <c r="B4" s="86" t="s">
        <v>68</v>
      </c>
      <c r="C4" s="87">
        <f>C5+C6+C7</f>
        <v>5915.4</v>
      </c>
      <c r="D4" s="87"/>
      <c r="E4" s="79" t="s">
        <v>63</v>
      </c>
      <c r="F4" s="86"/>
      <c r="G4" s="86"/>
      <c r="H4" s="86"/>
      <c r="I4" s="86"/>
      <c r="J4" s="86"/>
      <c r="K4" s="86"/>
      <c r="L4" s="86"/>
      <c r="M4" s="86"/>
      <c r="N4" s="86"/>
      <c r="O4" s="86"/>
    </row>
    <row r="5" spans="1:15" x14ac:dyDescent="0.5">
      <c r="A5" s="84">
        <v>1</v>
      </c>
      <c r="B5" s="82" t="s">
        <v>64</v>
      </c>
      <c r="C5" s="83">
        <v>1905</v>
      </c>
      <c r="D5" s="95">
        <f>ROUND(C5/$C$4,4)</f>
        <v>0.32200000000000001</v>
      </c>
      <c r="E5" s="40" t="s">
        <v>63</v>
      </c>
      <c r="F5" s="83">
        <v>29893</v>
      </c>
      <c r="G5" s="82" t="s">
        <v>72</v>
      </c>
      <c r="H5" s="90">
        <v>11132000</v>
      </c>
      <c r="I5" s="91">
        <v>0.94799999999999995</v>
      </c>
      <c r="J5" s="90">
        <f>H5*I5/1.1</f>
        <v>9593760</v>
      </c>
      <c r="K5" s="90">
        <f>J5*F5</f>
        <v>286786267680</v>
      </c>
      <c r="L5" s="90">
        <f>L9*D5</f>
        <v>2300076820.7159266</v>
      </c>
      <c r="M5" s="90">
        <f>K5+L5</f>
        <v>289086344500.71594</v>
      </c>
      <c r="N5" s="90">
        <f>5%*M5</f>
        <v>14454317225.035797</v>
      </c>
      <c r="O5" s="96">
        <f>M5+N5</f>
        <v>303540661725.75171</v>
      </c>
    </row>
    <row r="6" spans="1:15" x14ac:dyDescent="0.5">
      <c r="A6" s="84">
        <v>2</v>
      </c>
      <c r="B6" s="82" t="s">
        <v>65</v>
      </c>
      <c r="C6" s="83">
        <v>2105.4</v>
      </c>
      <c r="D6" s="95">
        <f t="shared" ref="D6" si="0">ROUND(C6/$C$4,4)</f>
        <v>0.35589999999999999</v>
      </c>
      <c r="E6" s="40" t="s">
        <v>63</v>
      </c>
      <c r="F6" s="83">
        <v>33500</v>
      </c>
      <c r="G6" s="82" t="s">
        <v>72</v>
      </c>
      <c r="H6" s="90">
        <v>11132000</v>
      </c>
      <c r="I6" s="91">
        <v>0.94799999999999995</v>
      </c>
      <c r="J6" s="90">
        <f t="shared" ref="J6:J8" si="1">H6*I6/1.1</f>
        <v>9593760</v>
      </c>
      <c r="K6" s="90">
        <f t="shared" ref="K6:K7" si="2">J6*F6</f>
        <v>321390960000</v>
      </c>
      <c r="L6" s="90">
        <f>L9*D6</f>
        <v>2542227765.5055847</v>
      </c>
      <c r="M6" s="90">
        <f t="shared" ref="M6:M7" si="3">K6+L6</f>
        <v>323933187765.50562</v>
      </c>
      <c r="N6" s="90">
        <f t="shared" ref="N6:N7" si="4">5%*M6</f>
        <v>16196659388.275282</v>
      </c>
      <c r="O6" s="96">
        <f t="shared" ref="O6:O7" si="5">M6+N6</f>
        <v>340129847153.78088</v>
      </c>
    </row>
    <row r="7" spans="1:15" x14ac:dyDescent="0.5">
      <c r="A7" s="84">
        <v>3</v>
      </c>
      <c r="B7" s="82" t="s">
        <v>66</v>
      </c>
      <c r="C7" s="83">
        <v>1905</v>
      </c>
      <c r="D7" s="95">
        <f>100%-D5-D6</f>
        <v>0.32209999999999994</v>
      </c>
      <c r="E7" s="40" t="s">
        <v>63</v>
      </c>
      <c r="F7" s="83">
        <v>30103.5</v>
      </c>
      <c r="G7" s="82" t="s">
        <v>72</v>
      </c>
      <c r="H7" s="90">
        <v>11132000</v>
      </c>
      <c r="I7" s="91">
        <v>0.94799999999999995</v>
      </c>
      <c r="J7" s="90">
        <f t="shared" si="1"/>
        <v>9593760</v>
      </c>
      <c r="K7" s="90">
        <f t="shared" si="2"/>
        <v>288805754160</v>
      </c>
      <c r="L7" s="90">
        <f>L9-L5-L6</f>
        <v>2300791130.2875786</v>
      </c>
      <c r="M7" s="90">
        <f t="shared" si="3"/>
        <v>291106545290.2876</v>
      </c>
      <c r="N7" s="90">
        <f t="shared" si="4"/>
        <v>14555327264.514381</v>
      </c>
      <c r="O7" s="96">
        <f t="shared" si="5"/>
        <v>305661872554.802</v>
      </c>
    </row>
    <row r="8" spans="1:15" s="88" customFormat="1" ht="15" x14ac:dyDescent="0.45">
      <c r="A8" s="93" t="s">
        <v>69</v>
      </c>
      <c r="B8" s="86" t="s">
        <v>76</v>
      </c>
      <c r="C8" s="87">
        <f>C3-C4</f>
        <v>9358.4</v>
      </c>
      <c r="D8" s="87"/>
      <c r="E8" s="93" t="s">
        <v>63</v>
      </c>
      <c r="F8" s="86"/>
      <c r="G8" s="86"/>
      <c r="H8" s="92">
        <v>925700</v>
      </c>
      <c r="I8" s="138">
        <v>0.90700000000000003</v>
      </c>
      <c r="J8" s="92">
        <f t="shared" si="1"/>
        <v>763281.72727272718</v>
      </c>
      <c r="K8" s="86"/>
      <c r="L8" s="86"/>
      <c r="M8" s="92"/>
      <c r="N8" s="92"/>
      <c r="O8" s="92"/>
    </row>
    <row r="9" spans="1:15" s="88" customFormat="1" ht="15" x14ac:dyDescent="0.45">
      <c r="A9" s="93"/>
      <c r="B9" s="86" t="s">
        <v>61</v>
      </c>
      <c r="C9" s="87"/>
      <c r="D9" s="87"/>
      <c r="E9" s="93"/>
      <c r="F9" s="86"/>
      <c r="G9" s="86"/>
      <c r="H9" s="86"/>
      <c r="I9" s="86"/>
      <c r="J9" s="86"/>
      <c r="K9" s="92"/>
      <c r="L9" s="92">
        <f>J8*C8</f>
        <v>7143095716.5090895</v>
      </c>
      <c r="M9" s="92">
        <f>M5+M6+M7</f>
        <v>904126077556.50916</v>
      </c>
      <c r="N9" s="92"/>
      <c r="O9" s="92"/>
    </row>
    <row r="10" spans="1:15" s="88" customFormat="1" ht="15" x14ac:dyDescent="0.45">
      <c r="A10" s="93"/>
      <c r="B10" s="86" t="s">
        <v>58</v>
      </c>
      <c r="C10" s="87"/>
      <c r="D10" s="87"/>
      <c r="E10" s="93"/>
      <c r="F10" s="86"/>
      <c r="G10" s="86"/>
      <c r="H10" s="86"/>
      <c r="I10" s="86"/>
      <c r="J10" s="86"/>
      <c r="K10" s="92"/>
      <c r="L10" s="92"/>
      <c r="M10" s="92">
        <f>ROUND(M9,-6)</f>
        <v>904126000000</v>
      </c>
      <c r="N10" s="92"/>
      <c r="O10" s="92"/>
    </row>
    <row r="11" spans="1:15" ht="143.69999999999999" customHeight="1" x14ac:dyDescent="0.5">
      <c r="A11" s="141" t="s">
        <v>82</v>
      </c>
      <c r="B11" s="140"/>
      <c r="C11" s="140"/>
      <c r="D11" s="140"/>
      <c r="E11" s="140"/>
      <c r="F11" s="140"/>
      <c r="G11" s="140"/>
      <c r="H11" s="140"/>
      <c r="I11" s="140"/>
      <c r="J11" s="140"/>
      <c r="K11" s="140"/>
      <c r="L11" s="140"/>
      <c r="M11" s="140"/>
    </row>
  </sheetData>
  <mergeCells count="2">
    <mergeCell ref="A1:M1"/>
    <mergeCell ref="A11:M11"/>
  </mergeCells>
  <pageMargins left="0.7" right="0.7" top="0.75" bottom="0.75" header="0.3" footer="0.3"/>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Giá trị CTXD</vt:lpstr>
      <vt:lpstr>Thống kê xây dựng</vt:lpstr>
      <vt:lpstr>'Giá trị CTXD'!Print_Area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2026-04-16T09:51:00Z</cp:lastPrinted>
  <dcterms:created xsi:type="dcterms:W3CDTF">2026-03-16T08:10:53Z</dcterms:created>
  <dcterms:modified xsi:type="dcterms:W3CDTF">2026-04-16T09:51:01Z</dcterms:modified>
</cp:coreProperties>
</file>