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háng 7.2026\"/>
    </mc:Choice>
  </mc:AlternateContent>
  <bookViews>
    <workbookView xWindow="0" yWindow="0" windowWidth="20496" windowHeight="7656"/>
  </bookViews>
  <sheets>
    <sheet name="Sheet1" sheetId="1" r:id="rId1"/>
    <sheet name="Đất" sheetId="5" r:id="rId2"/>
    <sheet name="Sheet3" sheetId="4" r:id="rId3"/>
    <sheet name="Sheet1 (2)" sheetId="2" r:id="rId4"/>
    <sheet name="Sheet2" sheetId="3" r:id="rId5"/>
    <sheet name="Sheet1 (3)" sheetId="6" r:id="rId6"/>
  </sheets>
  <definedNames>
    <definedName name="_xlnm._FilterDatabase" localSheetId="0" hidden="1">Sheet1!$A$9:$AS$9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9" i="1" l="1"/>
  <c r="W9" i="1"/>
  <c r="M79" i="6" l="1"/>
  <c r="M78" i="6"/>
  <c r="J78" i="6"/>
  <c r="M83" i="6" s="1"/>
  <c r="R77" i="6"/>
  <c r="R78" i="6" s="1"/>
  <c r="R79" i="6" s="1"/>
  <c r="I75" i="6"/>
  <c r="K72" i="6"/>
  <c r="M69" i="6"/>
  <c r="K67" i="6"/>
  <c r="M67" i="6" s="1"/>
  <c r="M66" i="6"/>
  <c r="O61" i="6"/>
  <c r="I59" i="6"/>
  <c r="X58" i="6"/>
  <c r="S58" i="6"/>
  <c r="M58" i="6"/>
  <c r="T57" i="6"/>
  <c r="R57" i="6"/>
  <c r="X56" i="6"/>
  <c r="I56" i="6"/>
  <c r="T55" i="6"/>
  <c r="N55" i="6"/>
  <c r="M55" i="6"/>
  <c r="X54" i="6"/>
  <c r="R54" i="6"/>
  <c r="I54" i="6"/>
  <c r="AE51" i="6"/>
  <c r="AB51" i="6"/>
  <c r="W50" i="6"/>
  <c r="X50" i="6" s="1"/>
  <c r="R50" i="6"/>
  <c r="T50" i="6" s="1"/>
  <c r="U50" i="6" s="1"/>
  <c r="V50" i="6" s="1"/>
  <c r="M50" i="6"/>
  <c r="L50" i="6"/>
  <c r="R49" i="6"/>
  <c r="T49" i="6" s="1"/>
  <c r="M49" i="6"/>
  <c r="L49" i="6"/>
  <c r="R48" i="6"/>
  <c r="T48" i="6" s="1"/>
  <c r="M48" i="6"/>
  <c r="L48" i="6"/>
  <c r="R47" i="6"/>
  <c r="T47" i="6" s="1"/>
  <c r="M47" i="6"/>
  <c r="L47" i="6"/>
  <c r="R46" i="6"/>
  <c r="T46" i="6" s="1"/>
  <c r="M46" i="6"/>
  <c r="L46" i="6"/>
  <c r="R45" i="6"/>
  <c r="T45" i="6" s="1"/>
  <c r="M45" i="6"/>
  <c r="L45" i="6"/>
  <c r="R44" i="6"/>
  <c r="T44" i="6" s="1"/>
  <c r="M44" i="6"/>
  <c r="L44" i="6"/>
  <c r="R43" i="6"/>
  <c r="T43" i="6" s="1"/>
  <c r="M43" i="6"/>
  <c r="L43" i="6"/>
  <c r="W42" i="6"/>
  <c r="M42" i="6"/>
  <c r="L42" i="6"/>
  <c r="W41" i="6"/>
  <c r="R41" i="6"/>
  <c r="T41" i="6" s="1"/>
  <c r="U41" i="6" s="1"/>
  <c r="V41" i="6" s="1"/>
  <c r="M41" i="6"/>
  <c r="L41" i="6"/>
  <c r="W40" i="6"/>
  <c r="R40" i="6"/>
  <c r="T40" i="6" s="1"/>
  <c r="U40" i="6" s="1"/>
  <c r="V40" i="6" s="1"/>
  <c r="M40" i="6"/>
  <c r="L40" i="6"/>
  <c r="W39" i="6"/>
  <c r="X39" i="6" s="1"/>
  <c r="R39" i="6"/>
  <c r="T39" i="6" s="1"/>
  <c r="U39" i="6" s="1"/>
  <c r="V39" i="6" s="1"/>
  <c r="M39" i="6"/>
  <c r="L39" i="6"/>
  <c r="W38" i="6"/>
  <c r="R38" i="6"/>
  <c r="T38" i="6" s="1"/>
  <c r="U38" i="6" s="1"/>
  <c r="V38" i="6" s="1"/>
  <c r="M38" i="6"/>
  <c r="L38" i="6"/>
  <c r="W37" i="6"/>
  <c r="R37" i="6"/>
  <c r="T37" i="6" s="1"/>
  <c r="U37" i="6" s="1"/>
  <c r="V37" i="6" s="1"/>
  <c r="M37" i="6"/>
  <c r="L37" i="6"/>
  <c r="W36" i="6"/>
  <c r="R36" i="6"/>
  <c r="T36" i="6" s="1"/>
  <c r="U36" i="6" s="1"/>
  <c r="M36" i="6"/>
  <c r="L36" i="6"/>
  <c r="R35" i="6"/>
  <c r="T35" i="6" s="1"/>
  <c r="M35" i="6"/>
  <c r="L35" i="6"/>
  <c r="R34" i="6"/>
  <c r="T34" i="6" s="1"/>
  <c r="M34" i="6"/>
  <c r="L34" i="6"/>
  <c r="R33" i="6"/>
  <c r="T33" i="6" s="1"/>
  <c r="M33" i="6"/>
  <c r="L33" i="6"/>
  <c r="R32" i="6"/>
  <c r="T32" i="6" s="1"/>
  <c r="M32" i="6"/>
  <c r="L32" i="6"/>
  <c r="R31" i="6"/>
  <c r="T31" i="6" s="1"/>
  <c r="M31" i="6"/>
  <c r="L31" i="6"/>
  <c r="R30" i="6"/>
  <c r="T30" i="6" s="1"/>
  <c r="M30" i="6"/>
  <c r="L30" i="6"/>
  <c r="R29" i="6"/>
  <c r="T29" i="6" s="1"/>
  <c r="M29" i="6"/>
  <c r="L29" i="6"/>
  <c r="W28" i="6"/>
  <c r="X28" i="6" s="1"/>
  <c r="R28" i="6"/>
  <c r="T28" i="6" s="1"/>
  <c r="U28" i="6" s="1"/>
  <c r="M28" i="6"/>
  <c r="L28" i="6"/>
  <c r="R27" i="6"/>
  <c r="T27" i="6" s="1"/>
  <c r="M27" i="6"/>
  <c r="L27" i="6"/>
  <c r="R26" i="6"/>
  <c r="T26" i="6" s="1"/>
  <c r="M26" i="6"/>
  <c r="L26" i="6"/>
  <c r="R25" i="6"/>
  <c r="T25" i="6" s="1"/>
  <c r="M25" i="6"/>
  <c r="L25" i="6"/>
  <c r="R24" i="6"/>
  <c r="T24" i="6" s="1"/>
  <c r="M24" i="6"/>
  <c r="L24" i="6"/>
  <c r="W23" i="6"/>
  <c r="X23" i="6" s="1"/>
  <c r="R23" i="6"/>
  <c r="T23" i="6" s="1"/>
  <c r="U23" i="6" s="1"/>
  <c r="V23" i="6" s="1"/>
  <c r="M23" i="6"/>
  <c r="L23" i="6"/>
  <c r="R22" i="6"/>
  <c r="T22" i="6" s="1"/>
  <c r="M22" i="6"/>
  <c r="L22" i="6"/>
  <c r="R21" i="6"/>
  <c r="T21" i="6" s="1"/>
  <c r="M21" i="6"/>
  <c r="L21" i="6"/>
  <c r="R20" i="6"/>
  <c r="T20" i="6" s="1"/>
  <c r="M20" i="6"/>
  <c r="L20" i="6"/>
  <c r="R19" i="6"/>
  <c r="T19" i="6" s="1"/>
  <c r="M19" i="6"/>
  <c r="L19" i="6"/>
  <c r="R18" i="6"/>
  <c r="T18" i="6" s="1"/>
  <c r="M18" i="6"/>
  <c r="L18" i="6"/>
  <c r="R17" i="6"/>
  <c r="T17" i="6" s="1"/>
  <c r="M17" i="6"/>
  <c r="L17" i="6"/>
  <c r="R16" i="6"/>
  <c r="T16" i="6" s="1"/>
  <c r="M16" i="6"/>
  <c r="L16" i="6"/>
  <c r="R15" i="6"/>
  <c r="T15" i="6" s="1"/>
  <c r="M15" i="6"/>
  <c r="L15" i="6"/>
  <c r="R14" i="6"/>
  <c r="T14" i="6" s="1"/>
  <c r="M14" i="6"/>
  <c r="L14" i="6"/>
  <c r="R13" i="6"/>
  <c r="T13" i="6" s="1"/>
  <c r="M13" i="6"/>
  <c r="L13" i="6"/>
  <c r="R12" i="6"/>
  <c r="T12" i="6" s="1"/>
  <c r="M12" i="6"/>
  <c r="L12" i="6"/>
  <c r="R11" i="6"/>
  <c r="T11" i="6" s="1"/>
  <c r="M11" i="6"/>
  <c r="L11" i="6"/>
  <c r="R10" i="6"/>
  <c r="T10" i="6" s="1"/>
  <c r="M10" i="6"/>
  <c r="L10" i="6"/>
  <c r="R9" i="6"/>
  <c r="T9" i="6" s="1"/>
  <c r="M9" i="6"/>
  <c r="L9" i="6"/>
  <c r="AS5" i="6"/>
  <c r="G13" i="5"/>
  <c r="G12" i="5"/>
  <c r="G14" i="5" s="1"/>
  <c r="F13" i="5"/>
  <c r="AE10" i="1"/>
  <c r="W48" i="6" l="1"/>
  <c r="X48" i="6" s="1"/>
  <c r="U48" i="6"/>
  <c r="V48" i="6" s="1"/>
  <c r="X40" i="6"/>
  <c r="X37" i="6"/>
  <c r="X41" i="6"/>
  <c r="X36" i="6"/>
  <c r="V28" i="6"/>
  <c r="X42" i="6"/>
  <c r="X38" i="6"/>
  <c r="V36" i="6"/>
  <c r="W31" i="6"/>
  <c r="X31" i="6" s="1"/>
  <c r="U31" i="6"/>
  <c r="V31" i="6" s="1"/>
  <c r="W22" i="6"/>
  <c r="X22" i="6" s="1"/>
  <c r="U22" i="6"/>
  <c r="V22" i="6" s="1"/>
  <c r="W12" i="6"/>
  <c r="X12" i="6" s="1"/>
  <c r="U12" i="6"/>
  <c r="V12" i="6" s="1"/>
  <c r="W47" i="6"/>
  <c r="X47" i="6" s="1"/>
  <c r="U47" i="6"/>
  <c r="V47" i="6" s="1"/>
  <c r="U16" i="6"/>
  <c r="V16" i="6" s="1"/>
  <c r="W16" i="6"/>
  <c r="X16" i="6" s="1"/>
  <c r="W27" i="6"/>
  <c r="X27" i="6" s="1"/>
  <c r="U27" i="6"/>
  <c r="V27" i="6" s="1"/>
  <c r="W17" i="6"/>
  <c r="X17" i="6" s="1"/>
  <c r="U17" i="6"/>
  <c r="V17" i="6" s="1"/>
  <c r="W18" i="6"/>
  <c r="X18" i="6" s="1"/>
  <c r="U18" i="6"/>
  <c r="V18" i="6" s="1"/>
  <c r="W21" i="6"/>
  <c r="X21" i="6" s="1"/>
  <c r="U21" i="6"/>
  <c r="V21" i="6" s="1"/>
  <c r="W33" i="6"/>
  <c r="X33" i="6" s="1"/>
  <c r="U33" i="6"/>
  <c r="V33" i="6" s="1"/>
  <c r="W34" i="6"/>
  <c r="X34" i="6" s="1"/>
  <c r="U34" i="6"/>
  <c r="V34" i="6" s="1"/>
  <c r="W26" i="6"/>
  <c r="X26" i="6" s="1"/>
  <c r="U26" i="6"/>
  <c r="V26" i="6" s="1"/>
  <c r="W11" i="6"/>
  <c r="X11" i="6" s="1"/>
  <c r="U11" i="6"/>
  <c r="V11" i="6" s="1"/>
  <c r="W32" i="6"/>
  <c r="X32" i="6" s="1"/>
  <c r="U32" i="6"/>
  <c r="V32" i="6" s="1"/>
  <c r="W13" i="6"/>
  <c r="X13" i="6" s="1"/>
  <c r="U13" i="6"/>
  <c r="V13" i="6" s="1"/>
  <c r="W19" i="6"/>
  <c r="X19" i="6" s="1"/>
  <c r="U19" i="6"/>
  <c r="V19" i="6" s="1"/>
  <c r="W24" i="6"/>
  <c r="X24" i="6" s="1"/>
  <c r="U24" i="6"/>
  <c r="V24" i="6" s="1"/>
  <c r="W29" i="6"/>
  <c r="X29" i="6" s="1"/>
  <c r="U29" i="6"/>
  <c r="V29" i="6" s="1"/>
  <c r="W43" i="6"/>
  <c r="X43" i="6" s="1"/>
  <c r="U43" i="6"/>
  <c r="V43" i="6" s="1"/>
  <c r="W14" i="6"/>
  <c r="X14" i="6" s="1"/>
  <c r="U14" i="6"/>
  <c r="V14" i="6" s="1"/>
  <c r="W9" i="6"/>
  <c r="X9" i="6" s="1"/>
  <c r="U9" i="6"/>
  <c r="V9" i="6" s="1"/>
  <c r="W35" i="6"/>
  <c r="X35" i="6" s="1"/>
  <c r="U35" i="6"/>
  <c r="V35" i="6" s="1"/>
  <c r="W20" i="6"/>
  <c r="X20" i="6" s="1"/>
  <c r="U20" i="6"/>
  <c r="V20" i="6" s="1"/>
  <c r="W25" i="6"/>
  <c r="X25" i="6" s="1"/>
  <c r="U25" i="6"/>
  <c r="V25" i="6" s="1"/>
  <c r="W30" i="6"/>
  <c r="X30" i="6" s="1"/>
  <c r="U30" i="6"/>
  <c r="V30" i="6" s="1"/>
  <c r="W44" i="6"/>
  <c r="X44" i="6" s="1"/>
  <c r="U44" i="6"/>
  <c r="V44" i="6" s="1"/>
  <c r="W15" i="6"/>
  <c r="X15" i="6" s="1"/>
  <c r="U15" i="6"/>
  <c r="V15" i="6" s="1"/>
  <c r="W49" i="6"/>
  <c r="X49" i="6" s="1"/>
  <c r="U49" i="6"/>
  <c r="V49" i="6" s="1"/>
  <c r="W45" i="6"/>
  <c r="X45" i="6" s="1"/>
  <c r="U45" i="6"/>
  <c r="V45" i="6" s="1"/>
  <c r="U46" i="6"/>
  <c r="V46" i="6" s="1"/>
  <c r="W46" i="6"/>
  <c r="X46" i="6" s="1"/>
  <c r="U10" i="6"/>
  <c r="V10" i="6" s="1"/>
  <c r="W10" i="6"/>
  <c r="X10" i="6" s="1"/>
  <c r="X51" i="6" l="1"/>
  <c r="X52" i="6" s="1"/>
  <c r="F56" i="6" l="1"/>
  <c r="F57" i="6" s="1"/>
  <c r="AE53" i="6"/>
  <c r="L9" i="1" l="1"/>
  <c r="O35" i="4" l="1"/>
  <c r="O36" i="4" s="1"/>
  <c r="K26" i="1" l="1"/>
  <c r="M26" i="1" s="1"/>
  <c r="I13" i="1"/>
  <c r="M28" i="1" l="1"/>
  <c r="M25" i="1"/>
  <c r="K31" i="1"/>
  <c r="I34" i="1" l="1"/>
  <c r="AS5" i="1" l="1"/>
  <c r="J37" i="1"/>
  <c r="M37" i="1"/>
  <c r="M38" i="1"/>
  <c r="M42" i="1" l="1"/>
  <c r="R36" i="1" l="1"/>
  <c r="R37" i="1" s="1"/>
  <c r="R38" i="1" s="1"/>
  <c r="R9" i="1" l="1"/>
  <c r="T9" i="1" s="1"/>
  <c r="U9" i="1" l="1"/>
  <c r="O55" i="2"/>
  <c r="I53" i="2"/>
  <c r="V52" i="2"/>
  <c r="R52" i="2"/>
  <c r="L52" i="2"/>
  <c r="S51" i="2"/>
  <c r="Q51" i="2"/>
  <c r="I50" i="2"/>
  <c r="S49" i="2"/>
  <c r="N49" i="2"/>
  <c r="L49" i="2"/>
  <c r="Q48" i="2"/>
  <c r="T47" i="2"/>
  <c r="Y45" i="2"/>
  <c r="X41" i="2"/>
  <c r="Q40" i="2"/>
  <c r="S40" i="2" s="1"/>
  <c r="U40" i="2" s="1"/>
  <c r="V40" i="2" s="1"/>
  <c r="Q38" i="2"/>
  <c r="S38" i="2" s="1"/>
  <c r="U38" i="2" s="1"/>
  <c r="V38" i="2" s="1"/>
  <c r="Q36" i="2"/>
  <c r="S36" i="2" s="1"/>
  <c r="U36" i="2" s="1"/>
  <c r="V36" i="2" s="1"/>
  <c r="Q35" i="2"/>
  <c r="S35" i="2" s="1"/>
  <c r="U35" i="2" s="1"/>
  <c r="V35" i="2" s="1"/>
  <c r="Q34" i="2"/>
  <c r="S34" i="2" s="1"/>
  <c r="U34" i="2" s="1"/>
  <c r="V34" i="2" s="1"/>
  <c r="Q33" i="2"/>
  <c r="S33" i="2" s="1"/>
  <c r="U33" i="2" s="1"/>
  <c r="V33" i="2" s="1"/>
  <c r="Q32" i="2"/>
  <c r="S32" i="2" s="1"/>
  <c r="U32" i="2" s="1"/>
  <c r="V32" i="2" s="1"/>
  <c r="Q30" i="2"/>
  <c r="S30" i="2" s="1"/>
  <c r="U30" i="2" s="1"/>
  <c r="V30" i="2" s="1"/>
  <c r="Q29" i="2"/>
  <c r="S29" i="2" s="1"/>
  <c r="U29" i="2" s="1"/>
  <c r="V29" i="2" s="1"/>
  <c r="Q28" i="2"/>
  <c r="S28" i="2" s="1"/>
  <c r="U28" i="2" s="1"/>
  <c r="V28" i="2" s="1"/>
  <c r="Q27" i="2"/>
  <c r="S27" i="2" s="1"/>
  <c r="U27" i="2" s="1"/>
  <c r="V27" i="2" s="1"/>
  <c r="S26" i="2"/>
  <c r="U26" i="2" s="1"/>
  <c r="V26" i="2" s="1"/>
  <c r="Q26" i="2"/>
  <c r="Q25" i="2"/>
  <c r="S25" i="2" s="1"/>
  <c r="U25" i="2" s="1"/>
  <c r="V25" i="2" s="1"/>
  <c r="Q24" i="2"/>
  <c r="S24" i="2" s="1"/>
  <c r="U24" i="2" s="1"/>
  <c r="V24" i="2" s="1"/>
  <c r="Q23" i="2"/>
  <c r="S23" i="2" s="1"/>
  <c r="U23" i="2" s="1"/>
  <c r="V23" i="2" s="1"/>
  <c r="W22" i="2"/>
  <c r="V21" i="2"/>
  <c r="Q21" i="2"/>
  <c r="S21" i="2" s="1"/>
  <c r="V18" i="2"/>
  <c r="Q18" i="2"/>
  <c r="S18" i="2" s="1"/>
  <c r="Q14" i="2"/>
  <c r="S14" i="2" s="1"/>
  <c r="U14" i="2" s="1"/>
  <c r="K14" i="2"/>
  <c r="L14" i="2" s="1"/>
  <c r="H14" i="2"/>
  <c r="Q13" i="2"/>
  <c r="S13" i="2" s="1"/>
  <c r="U13" i="2" s="1"/>
  <c r="K13" i="2"/>
  <c r="L13" i="2" s="1"/>
  <c r="H13" i="2"/>
  <c r="Q12" i="2"/>
  <c r="S12" i="2" s="1"/>
  <c r="U12" i="2" s="1"/>
  <c r="K12" i="2"/>
  <c r="L12" i="2" s="1"/>
  <c r="H12" i="2"/>
  <c r="Q11" i="2"/>
  <c r="S11" i="2" s="1"/>
  <c r="U11" i="2" s="1"/>
  <c r="K11" i="2"/>
  <c r="L11" i="2" s="1"/>
  <c r="H11" i="2"/>
  <c r="Q10" i="2"/>
  <c r="S10" i="2" s="1"/>
  <c r="U10" i="2" s="1"/>
  <c r="K10" i="2"/>
  <c r="L10" i="2" s="1"/>
  <c r="H10" i="2"/>
  <c r="Q9" i="2"/>
  <c r="S9" i="2" s="1"/>
  <c r="L9" i="2"/>
  <c r="K9" i="2"/>
  <c r="H9" i="2"/>
  <c r="Q8" i="2"/>
  <c r="S8" i="2" s="1"/>
  <c r="U8" i="2" s="1"/>
  <c r="K8" i="2"/>
  <c r="L8" i="2" s="1"/>
  <c r="H8" i="2"/>
  <c r="V6" i="2"/>
  <c r="V8" i="2" l="1"/>
  <c r="V12" i="2"/>
  <c r="X10" i="1"/>
  <c r="V9" i="1"/>
  <c r="V13" i="2"/>
  <c r="V10" i="2"/>
  <c r="V31" i="2"/>
  <c r="U9" i="2"/>
  <c r="V9" i="2" s="1"/>
  <c r="V15" i="2" s="1"/>
  <c r="V11" i="2"/>
  <c r="V14" i="2"/>
  <c r="V22" i="2"/>
  <c r="V45" i="2" l="1"/>
  <c r="V46" i="2" s="1"/>
  <c r="F50" i="2" s="1"/>
  <c r="F51" i="2" s="1"/>
  <c r="V48" i="2"/>
  <c r="V50" i="2" s="1"/>
  <c r="U51" i="2" s="1"/>
  <c r="X13" i="1" l="1"/>
  <c r="X15" i="1" s="1"/>
  <c r="X17" i="1"/>
  <c r="R13" i="1"/>
  <c r="O20" i="1"/>
  <c r="R16" i="1" l="1"/>
  <c r="S17" i="1"/>
  <c r="I15" i="1" l="1"/>
  <c r="I18" i="1"/>
  <c r="M17" i="1"/>
  <c r="T14" i="1" l="1"/>
  <c r="N14" i="1" l="1"/>
  <c r="M14" i="1"/>
  <c r="AB10" i="1"/>
  <c r="T16" i="1" l="1"/>
  <c r="X11" i="1" l="1"/>
  <c r="F15" i="1" l="1"/>
  <c r="F16" i="1" s="1"/>
  <c r="AE12" i="1"/>
</calcChain>
</file>

<file path=xl/sharedStrings.xml><?xml version="1.0" encoding="utf-8"?>
<sst xmlns="http://schemas.openxmlformats.org/spreadsheetml/2006/main" count="374" uniqueCount="158">
  <si>
    <t>Thời điểm thẩm định giá: Tháng 02/2025</t>
  </si>
  <si>
    <t>Đơn vị tính: đồng</t>
  </si>
  <si>
    <t>STT</t>
  </si>
  <si>
    <t>Chứng từ</t>
  </si>
  <si>
    <t>Kết cấu</t>
  </si>
  <si>
    <t>Đơn vị tính</t>
  </si>
  <si>
    <t>Đơn giá</t>
  </si>
  <si>
    <t>Hệ số giảm trừ kết cấu cho đơn giá</t>
  </si>
  <si>
    <t>Đơn giá xây dựng x Hệ số vùng 2 Hưng Yên</t>
  </si>
  <si>
    <t>Thời điểm đưa vào sử dụng</t>
  </si>
  <si>
    <t>Thời điểm thẩm định</t>
  </si>
  <si>
    <t>Phương pháp chuyên gia</t>
  </si>
  <si>
    <t>Phương pháp tuổi đời</t>
  </si>
  <si>
    <t>Tỷ lệ CLCL</t>
  </si>
  <si>
    <t>Giá trị thẩm định</t>
  </si>
  <si>
    <t>Gía trị 2024</t>
  </si>
  <si>
    <t>t</t>
  </si>
  <si>
    <t>T</t>
  </si>
  <si>
    <t>CLCL (chuyên gia)</t>
  </si>
  <si>
    <t>Gia trị</t>
  </si>
  <si>
    <t>I</t>
  </si>
  <si>
    <t>0021812</t>
  </si>
  <si>
    <t>TỔNG CỘNG</t>
  </si>
  <si>
    <t>LÀM TRÒN</t>
  </si>
  <si>
    <t xml:space="preserve">Số lượng </t>
  </si>
  <si>
    <t>chiếc</t>
  </si>
  <si>
    <t>GÍ</t>
  </si>
  <si>
    <t>10/2025</t>
  </si>
  <si>
    <t>Máy ủi Komatsu D41P-6</t>
  </si>
  <si>
    <t>Công trình nhà xưởng</t>
  </si>
  <si>
    <t>Nhà phơi gạch mộc (2)</t>
  </si>
  <si>
    <t>Nhà phơi gạch mộc (3)</t>
  </si>
  <si>
    <t>Nhà phơi gạch mộc (4)</t>
  </si>
  <si>
    <t>Nhà chứa than(5)</t>
  </si>
  <si>
    <t>Nhà Tạo Hình(6)</t>
  </si>
  <si>
    <t>Nhà chứa đất (7)</t>
  </si>
  <si>
    <t>Nhà Thành Phẩm(1)</t>
  </si>
  <si>
    <t>m2</t>
  </si>
  <si>
    <t>Tỷ lệ CLCL(chuyên gia)</t>
  </si>
  <si>
    <t>Máy đào kobelco PC200-1</t>
  </si>
  <si>
    <t>Chiếc</t>
  </si>
  <si>
    <t>1 chiếc hỏng, 1 chiếc không thấy có</t>
  </si>
  <si>
    <t>Xe goog chở gạch</t>
  </si>
  <si>
    <t>không thấy có, khách báo hủy</t>
  </si>
  <si>
    <t>Ô tô con 89A - 116,16</t>
  </si>
  <si>
    <t>Khách báo hủy, không làm</t>
  </si>
  <si>
    <t>04 Tài sản khách báo hủy</t>
  </si>
  <si>
    <t>Biểu Phí</t>
  </si>
  <si>
    <t>Ư</t>
  </si>
  <si>
    <t>Tên tài sản</t>
  </si>
  <si>
    <t>II</t>
  </si>
  <si>
    <t>-</t>
  </si>
  <si>
    <t>Máy ủi bánh xích nhãn hiệu Komatsu, Model: D31P-20</t>
  </si>
  <si>
    <t>Máy đào bánh xích nhãn hiệu Komatsu; Model: PC200-8</t>
  </si>
  <si>
    <t>Máy ép tạo hình viên gạch dùng trong dây chuyền sản xuất gạch, Model: JK0/60-4</t>
  </si>
  <si>
    <t>Máy trộn nguyên liệu làm gạch, Model: SJJ400X46</t>
  </si>
  <si>
    <t>Cái</t>
  </si>
  <si>
    <t>Hệ thông máy móc và Máy chuyên dụng</t>
  </si>
  <si>
    <t>Máy chuyên dụng theo HĐ.GTGT số 0000071 ngày 22/12/2015</t>
  </si>
  <si>
    <t>Máy chuyên dụng HĐ.GTGT số 0000063 ngày 07/8/2015</t>
  </si>
  <si>
    <t>Hệ thống máy móc theo HĐ.GTGT số 0000702 ngày 20/09/2016</t>
  </si>
  <si>
    <t>Máy trộn nguyên liệu làm gạch, Model: SJ400X50</t>
  </si>
  <si>
    <t>Máy cấp liệu kiểu thùng dùng cho dây chuyền sản xuất gạch. Model: XGD-80</t>
  </si>
  <si>
    <t>Máy cấp liệu kiểu thùng dùng cho dây chuyền sản xuất gạch. Model: XGD-100</t>
  </si>
  <si>
    <t>Máy cấp liệu kiểu thùng dùng cho dây chuyền sản xuất gạch. Model: XGL-100</t>
  </si>
  <si>
    <t>Máy nghiền (kiểu nghiền lô) dùng trong sản xuất gạch. Model: GS100x80. Công xuất: 100kv - 380v/50hz</t>
  </si>
  <si>
    <t>Máy nghiền (kiểu nghiền lô) dùng trong sản xuất gạch. Model: GS100x80. Công xuất: 67kv - 380v/50hz</t>
  </si>
  <si>
    <t>Máy cấp liệu thùng 3.5</t>
  </si>
  <si>
    <t>Máy nhào lọc thủy lực 550</t>
  </si>
  <si>
    <t>Máy nhào đùn chân không 500 ( 2 trục nhào)</t>
  </si>
  <si>
    <t>Máy cắt gạch 1200</t>
  </si>
  <si>
    <t>Máy cán 2000*800</t>
  </si>
  <si>
    <t>Máy đào bánh xích nhãn hiệu Komatsu; Model: PC200-8N1</t>
  </si>
  <si>
    <t>Nguyên giá xác định lại</t>
  </si>
  <si>
    <t>Kết luận CLCL</t>
  </si>
  <si>
    <t>Máy chuyện dụng theo HĐ.GTGT số 0000249 ngày 07/09/2022</t>
  </si>
  <si>
    <t>Hệ thống máy móc theo HĐ.GTGT số 000516 ngày 09/3/2016</t>
  </si>
  <si>
    <t>Giá trị hao mòn</t>
  </si>
  <si>
    <t>Tỷ lệ hao mòn</t>
  </si>
  <si>
    <t>Quyền sử dụng đất</t>
  </si>
  <si>
    <t>Tường gạch thu hồi mái ngói</t>
  </si>
  <si>
    <t>Nhà 02 tầng</t>
  </si>
  <si>
    <t>CLCL</t>
  </si>
  <si>
    <t>NVL</t>
  </si>
  <si>
    <t>Bông rơi chải khô</t>
  </si>
  <si>
    <t>Bông nguyên Tây Phi</t>
  </si>
  <si>
    <t>Bông rơi chải kỹ</t>
  </si>
  <si>
    <t>Bông Joy Ấn Độ</t>
  </si>
  <si>
    <t>Bông Mushraf Pakistan</t>
  </si>
  <si>
    <t>Số lượng</t>
  </si>
  <si>
    <t>xuất vốn</t>
  </si>
  <si>
    <t>ƯE</t>
  </si>
  <si>
    <t>Công trình xây dựng trên đất</t>
  </si>
  <si>
    <t>Nhà lưu niệm (đã chứng nhận trên sổ)</t>
  </si>
  <si>
    <t>Nhà thờ Bác Hồ</t>
  </si>
  <si>
    <t>Nhà sàn B3 (kết cấu bê tông cốt thép)</t>
  </si>
  <si>
    <t>Nhà sàn B4 (kết cấu bê tông cốt thép)</t>
  </si>
  <si>
    <t>Nhà ở nhân viên 4 gian (đã chứng nhận trên sổ)</t>
  </si>
  <si>
    <t>Nhà ở nhân viên 3 gian</t>
  </si>
  <si>
    <t>Nhà tập thể nhân viên 5 gian (đa chứng nhận trên sổ)</t>
  </si>
  <si>
    <t>Nhà sông hơi và nhà nghỉ nhân viên (đã chứng nhận trên sổ)</t>
  </si>
  <si>
    <t>Nhà thay đồ bể bơi</t>
  </si>
  <si>
    <t>Phòng bán vé</t>
  </si>
  <si>
    <t>Nhà WC khu nhà sàn</t>
  </si>
  <si>
    <t>Nhà bếp + WC nhà sàn gỗ lim</t>
  </si>
  <si>
    <t>Nhà nấu ăn +  kho</t>
  </si>
  <si>
    <t>Nhà ở nhân viên + Nhà máy nước (đã chứng nhận trên sổ)</t>
  </si>
  <si>
    <t>Nhà kho</t>
  </si>
  <si>
    <t>Nhà xưởng mộc</t>
  </si>
  <si>
    <t>Nhà giặt đồ</t>
  </si>
  <si>
    <t>Nhà phơi đồ</t>
  </si>
  <si>
    <t>Nhà giải khát bể bơi</t>
  </si>
  <si>
    <t>Nhà hàng hoa ban tầng 3</t>
  </si>
  <si>
    <t>Nhà nghỉ A1 (đã chứng nhận trên sổ)</t>
  </si>
  <si>
    <t>Nhà biệt thự C1 (đã chứng nhận trên sổ)</t>
  </si>
  <si>
    <t>Nhà nghỉ A2 (nhà lễ tân)</t>
  </si>
  <si>
    <t>Nhà massage + Karaoke (đã chứng nhận trên sổ)</t>
  </si>
  <si>
    <t>Cổng hậu 1</t>
  </si>
  <si>
    <t>Cổng hậu 2</t>
  </si>
  <si>
    <t xml:space="preserve">Cổng chính 2 tầng và nhà bảo vệ </t>
  </si>
  <si>
    <t>Bể cá trước nhà sàn B1 (chiều sâu 8m)</t>
  </si>
  <si>
    <t>Bể bơi lớn</t>
  </si>
  <si>
    <t>Bể bơi nhỏ</t>
  </si>
  <si>
    <t>Sân đường lát đá</t>
  </si>
  <si>
    <t>Đường dạo ven hồ lát đá thanh hóa</t>
  </si>
  <si>
    <t>Chòi câu cá</t>
  </si>
  <si>
    <t xml:space="preserve">Nhà sàn B1 </t>
  </si>
  <si>
    <t>Nhà sàn B2</t>
  </si>
  <si>
    <t xml:space="preserve">Nhà sàn B5  </t>
  </si>
  <si>
    <t xml:space="preserve">Nhà sàn B6  </t>
  </si>
  <si>
    <t>Nhà sàn B8</t>
  </si>
  <si>
    <t xml:space="preserve">Quán café </t>
  </si>
  <si>
    <t xml:space="preserve">Nhà sàn gỗ Lim </t>
  </si>
  <si>
    <t>Tường rào bao quanh nhà sàn gỗ lim</t>
  </si>
  <si>
    <t>Gía trị 2025</t>
  </si>
  <si>
    <t>đơn giá nhà sàn</t>
  </si>
  <si>
    <t>https://lamnhago.com.vn/?gad_source=1&amp;gad_campaignid=23570717221&amp;gbraid=0AAAABCs8B5HtpS-8Scv-Dwg8C4712XQqC&amp;gclid=CjwKCAjw857RBhAgEiwAI-1yKJvsDqc9wM0dqhOv3wWAKeQgoJct3OlVm_4VLUa3p0mRAGVMjRD5shoCJooQAvD_BwE</t>
  </si>
  <si>
    <t>https://nhagophucloc.com/mau-nha-go/nha-go-5-gian-32-cot-thong-gian-co-di</t>
  </si>
  <si>
    <t>https://www.youtube.com/watch?v=Q6-vg8lEAiI</t>
  </si>
  <si>
    <t>Ôps đá</t>
  </si>
  <si>
    <t>https://huyenquystone.com.vn/da-lat-san-vuon-tai-tong-kho-da-ha-noi/?gad_source=1&amp;gad_campaignid=21686304625&amp;gbraid=0AAAAADfXbg0LPt9moG528LxeUiz5mkd5P&amp;gclid=Cj0KCQjw3K7RBhDJARIsAKRtP5QBCzmKw2-78koer-FvgeFHhhIdJyOKNQPoQp44L8ZI2iNHC5ua0FcaAlWREALw_wcB</t>
  </si>
  <si>
    <t>350k/m2 ghi âm</t>
  </si>
  <si>
    <t>https://gachluxcasa.vn/bao-gia-da-op-tuong/?srsltid=AfmBOoqyrMrQe-LLZzGhGFNkmAPEYQ2yN0We4rQT2kGPg6J6QWCH1JOU</t>
  </si>
  <si>
    <t>380k</t>
  </si>
  <si>
    <t>Liên hệ trực tiếp</t>
  </si>
  <si>
    <t>Web: https://saigonconshoboi.weebly.com/chi-phi-xay-dung-ho-boi.html</t>
  </si>
  <si>
    <t>Bể bơi</t>
  </si>
  <si>
    <t>https://xaydungsuachuanhaviet.vn/bao-gia-thi-cong-be-boi.html</t>
  </si>
  <si>
    <t>https://dictech.vn/chi-phi-xay-ho-boi-300m2/</t>
  </si>
  <si>
    <t>Trung Bình CLCL 2026</t>
  </si>
  <si>
    <t>VAT</t>
  </si>
  <si>
    <t>06/2026</t>
  </si>
  <si>
    <t>Vị trí 1</t>
  </si>
  <si>
    <t>vị trí 2</t>
  </si>
  <si>
    <t>05/2053</t>
  </si>
  <si>
    <t>Giá trị thẩm định năm 2026</t>
  </si>
  <si>
    <t>07/2026</t>
  </si>
  <si>
    <t>Phao dầu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</si>
</sst>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  <numFmt numFmtId="166" formatCode="0_ ;\-0\ "/>
    <numFmt numFmtId="167" formatCode="_(* #,##0.000_);_(* \(#,##0.000\);_(* &quot;-&quot;??_);_(@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.VnTime"/>
      <family val="2"/>
    </font>
    <font>
      <b/>
      <sz val="10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i/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70C0"/>
      <name val="Times New Roman"/>
      <family val="1"/>
    </font>
    <font>
      <sz val="11"/>
      <color rgb="FF0070C0"/>
      <name val="Times New Roman"/>
      <family val="1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3" fillId="0" borderId="0"/>
    <xf numFmtId="0" fontId="13" fillId="0" borderId="0"/>
    <xf numFmtId="0" fontId="24" fillId="0" borderId="0" applyNumberFormat="0" applyFill="0" applyBorder="0" applyAlignment="0" applyProtection="0"/>
  </cellStyleXfs>
  <cellXfs count="24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3" fontId="4" fillId="0" borderId="0" xfId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9" fontId="5" fillId="0" borderId="0" xfId="2" applyFont="1" applyAlignment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vertical="center"/>
    </xf>
    <xf numFmtId="165" fontId="0" fillId="0" borderId="0" xfId="1" applyNumberFormat="1" applyFont="1"/>
    <xf numFmtId="164" fontId="0" fillId="0" borderId="0" xfId="0" applyNumberFormat="1"/>
    <xf numFmtId="0" fontId="10" fillId="0" borderId="2" xfId="0" applyFont="1" applyBorder="1" applyAlignment="1">
      <alignment horizontal="center" vertical="center"/>
    </xf>
    <xf numFmtId="0" fontId="7" fillId="0" borderId="2" xfId="0" quotePrefix="1" applyFont="1" applyBorder="1"/>
    <xf numFmtId="14" fontId="7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5" fontId="11" fillId="0" borderId="2" xfId="1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6" fontId="4" fillId="0" borderId="2" xfId="1" applyNumberFormat="1" applyFont="1" applyBorder="1" applyAlignment="1">
      <alignment horizontal="right" vertical="center"/>
    </xf>
    <xf numFmtId="14" fontId="4" fillId="0" borderId="2" xfId="0" quotePrefix="1" applyNumberFormat="1" applyFont="1" applyBorder="1" applyAlignment="1">
      <alignment horizontal="center" vertical="center"/>
    </xf>
    <xf numFmtId="14" fontId="5" fillId="0" borderId="2" xfId="0" quotePrefix="1" applyNumberFormat="1" applyFont="1" applyBorder="1" applyAlignment="1">
      <alignment horizontal="center" vertical="center"/>
    </xf>
    <xf numFmtId="9" fontId="5" fillId="0" borderId="2" xfId="2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9" fontId="11" fillId="3" borderId="2" xfId="2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43" fontId="5" fillId="0" borderId="0" xfId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3" borderId="0" xfId="0" applyNumberFormat="1" applyFont="1" applyFill="1" applyAlignment="1">
      <alignment vertical="center"/>
    </xf>
    <xf numFmtId="43" fontId="5" fillId="0" borderId="0" xfId="1" applyFont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7" fillId="2" borderId="2" xfId="0" quotePrefix="1" applyFont="1" applyFill="1" applyBorder="1"/>
    <xf numFmtId="14" fontId="7" fillId="2" borderId="2" xfId="0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6" fontId="4" fillId="2" borderId="2" xfId="1" applyNumberFormat="1" applyFont="1" applyFill="1" applyBorder="1" applyAlignment="1">
      <alignment horizontal="right" vertical="center"/>
    </xf>
    <xf numFmtId="14" fontId="4" fillId="2" borderId="2" xfId="0" quotePrefix="1" applyNumberFormat="1" applyFont="1" applyFill="1" applyBorder="1" applyAlignment="1">
      <alignment horizontal="center" vertical="center"/>
    </xf>
    <xf numFmtId="14" fontId="5" fillId="2" borderId="2" xfId="0" quotePrefix="1" applyNumberFormat="1" applyFont="1" applyFill="1" applyBorder="1" applyAlignment="1">
      <alignment horizontal="center" vertical="center"/>
    </xf>
    <xf numFmtId="9" fontId="5" fillId="2" borderId="2" xfId="2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9" fontId="11" fillId="2" borderId="2" xfId="2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vertical="center"/>
    </xf>
    <xf numFmtId="0" fontId="0" fillId="2" borderId="0" xfId="0" applyFill="1"/>
    <xf numFmtId="9" fontId="15" fillId="0" borderId="2" xfId="2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11" fillId="3" borderId="0" xfId="2" applyFont="1" applyFill="1" applyBorder="1" applyAlignment="1">
      <alignment horizontal="center" vertical="center"/>
    </xf>
    <xf numFmtId="165" fontId="11" fillId="0" borderId="2" xfId="1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wrapText="1"/>
    </xf>
    <xf numFmtId="165" fontId="11" fillId="2" borderId="2" xfId="1" applyNumberFormat="1" applyFont="1" applyFill="1" applyBorder="1" applyAlignment="1">
      <alignment horizontal="left" vertical="center" wrapText="1"/>
    </xf>
    <xf numFmtId="3" fontId="11" fillId="0" borderId="2" xfId="0" applyNumberFormat="1" applyFont="1" applyBorder="1"/>
    <xf numFmtId="164" fontId="4" fillId="0" borderId="2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3" fontId="11" fillId="2" borderId="2" xfId="0" applyNumberFormat="1" applyFont="1" applyFill="1" applyBorder="1"/>
    <xf numFmtId="0" fontId="7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9" fontId="7" fillId="2" borderId="2" xfId="2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9" fontId="11" fillId="3" borderId="4" xfId="2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11" fillId="2" borderId="2" xfId="1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vertical="center"/>
    </xf>
    <xf numFmtId="14" fontId="4" fillId="0" borderId="7" xfId="0" quotePrefix="1" applyNumberFormat="1" applyFont="1" applyBorder="1" applyAlignment="1">
      <alignment horizontal="center" vertical="center"/>
    </xf>
    <xf numFmtId="14" fontId="5" fillId="0" borderId="7" xfId="0" quotePrefix="1" applyNumberFormat="1" applyFont="1" applyBorder="1" applyAlignment="1">
      <alignment horizontal="center" vertical="center"/>
    </xf>
    <xf numFmtId="9" fontId="5" fillId="0" borderId="7" xfId="2" applyFont="1" applyFill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2" xfId="0" applyFill="1" applyBorder="1"/>
    <xf numFmtId="164" fontId="2" fillId="3" borderId="2" xfId="0" applyNumberFormat="1" applyFont="1" applyFill="1" applyBorder="1" applyAlignment="1">
      <alignment vertical="center"/>
    </xf>
    <xf numFmtId="0" fontId="0" fillId="0" borderId="2" xfId="0" applyBorder="1"/>
    <xf numFmtId="0" fontId="6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vertical="center"/>
    </xf>
    <xf numFmtId="0" fontId="7" fillId="2" borderId="8" xfId="3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9" fontId="7" fillId="2" borderId="8" xfId="2" applyFont="1" applyFill="1" applyBorder="1" applyAlignment="1">
      <alignment horizontal="center" vertical="center" wrapText="1"/>
    </xf>
    <xf numFmtId="164" fontId="5" fillId="0" borderId="7" xfId="0" applyNumberFormat="1" applyFont="1" applyBorder="1" applyAlignment="1">
      <alignment vertical="center"/>
    </xf>
    <xf numFmtId="164" fontId="5" fillId="0" borderId="0" xfId="1" applyNumberFormat="1" applyFont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165" fontId="11" fillId="5" borderId="2" xfId="1" applyNumberFormat="1" applyFont="1" applyFill="1" applyBorder="1" applyAlignment="1">
      <alignment horizontal="center" vertical="center"/>
    </xf>
    <xf numFmtId="14" fontId="4" fillId="5" borderId="2" xfId="0" quotePrefix="1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vertical="center"/>
    </xf>
    <xf numFmtId="9" fontId="11" fillId="5" borderId="2" xfId="2" applyFont="1" applyFill="1" applyBorder="1" applyAlignment="1">
      <alignment horizontal="center" vertical="center"/>
    </xf>
    <xf numFmtId="0" fontId="0" fillId="5" borderId="2" xfId="0" applyFill="1" applyBorder="1"/>
    <xf numFmtId="0" fontId="0" fillId="5" borderId="0" xfId="0" applyFill="1"/>
    <xf numFmtId="0" fontId="14" fillId="0" borderId="2" xfId="0" applyFont="1" applyBorder="1" applyAlignment="1">
      <alignment horizontal="center" vertical="center"/>
    </xf>
    <xf numFmtId="9" fontId="7" fillId="2" borderId="2" xfId="2" applyFont="1" applyFill="1" applyBorder="1" applyAlignment="1">
      <alignment horizontal="center" vertical="center" wrapText="1"/>
    </xf>
    <xf numFmtId="0" fontId="4" fillId="0" borderId="2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167" fontId="4" fillId="2" borderId="2" xfId="1" applyNumberFormat="1" applyFont="1" applyFill="1" applyBorder="1" applyAlignment="1">
      <alignment horizontal="center" vertical="center" wrapText="1"/>
    </xf>
    <xf numFmtId="167" fontId="4" fillId="5" borderId="2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vertical="center"/>
    </xf>
    <xf numFmtId="9" fontId="18" fillId="2" borderId="2" xfId="2" applyFont="1" applyFill="1" applyBorder="1" applyAlignment="1">
      <alignment horizontal="center" vertical="center"/>
    </xf>
    <xf numFmtId="0" fontId="17" fillId="2" borderId="2" xfId="0" applyFont="1" applyFill="1" applyBorder="1"/>
    <xf numFmtId="0" fontId="17" fillId="2" borderId="0" xfId="0" applyFont="1" applyFill="1"/>
    <xf numFmtId="0" fontId="16" fillId="2" borderId="2" xfId="0" applyFont="1" applyFill="1" applyBorder="1" applyAlignment="1">
      <alignment horizontal="center" vertical="center"/>
    </xf>
    <xf numFmtId="0" fontId="8" fillId="2" borderId="2" xfId="0" quotePrefix="1" applyFont="1" applyFill="1" applyBorder="1"/>
    <xf numFmtId="14" fontId="8" fillId="2" borderId="2" xfId="0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center" vertical="center" wrapText="1"/>
    </xf>
    <xf numFmtId="9" fontId="4" fillId="2" borderId="2" xfId="2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vertical="center"/>
    </xf>
    <xf numFmtId="0" fontId="19" fillId="2" borderId="0" xfId="0" applyFont="1" applyFill="1" applyAlignment="1">
      <alignment wrapText="1"/>
    </xf>
    <xf numFmtId="0" fontId="16" fillId="5" borderId="2" xfId="0" applyFont="1" applyFill="1" applyBorder="1" applyAlignment="1">
      <alignment horizontal="center" vertical="center"/>
    </xf>
    <xf numFmtId="0" fontId="8" fillId="5" borderId="2" xfId="0" quotePrefix="1" applyFont="1" applyFill="1" applyBorder="1"/>
    <xf numFmtId="14" fontId="8" fillId="5" borderId="2" xfId="0" applyNumberFormat="1" applyFont="1" applyFill="1" applyBorder="1" applyAlignment="1">
      <alignment horizontal="right"/>
    </xf>
    <xf numFmtId="0" fontId="11" fillId="5" borderId="2" xfId="0" applyFont="1" applyFill="1" applyBorder="1" applyAlignment="1">
      <alignment vertical="center" wrapText="1"/>
    </xf>
    <xf numFmtId="9" fontId="4" fillId="5" borderId="2" xfId="2" applyFont="1" applyFill="1" applyBorder="1" applyAlignment="1">
      <alignment horizontal="center" vertical="center"/>
    </xf>
    <xf numFmtId="2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5" fontId="11" fillId="2" borderId="6" xfId="1" applyNumberFormat="1" applyFont="1" applyFill="1" applyBorder="1" applyAlignment="1">
      <alignment horizontal="left" vertical="center" wrapText="1"/>
    </xf>
    <xf numFmtId="165" fontId="11" fillId="5" borderId="6" xfId="1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9" fontId="7" fillId="2" borderId="2" xfId="2" applyFont="1" applyFill="1" applyBorder="1" applyAlignment="1">
      <alignment horizontal="center" vertical="center" wrapText="1"/>
    </xf>
    <xf numFmtId="164" fontId="4" fillId="5" borderId="2" xfId="1" applyNumberFormat="1" applyFont="1" applyFill="1" applyBorder="1" applyAlignment="1">
      <alignment horizontal="center" vertical="center"/>
    </xf>
    <xf numFmtId="165" fontId="11" fillId="5" borderId="2" xfId="1" applyNumberFormat="1" applyFont="1" applyFill="1" applyBorder="1" applyAlignment="1">
      <alignment horizontal="left" vertical="center" wrapText="1"/>
    </xf>
    <xf numFmtId="9" fontId="20" fillId="0" borderId="10" xfId="0" applyNumberFormat="1" applyFont="1" applyBorder="1" applyAlignment="1">
      <alignment horizontal="center" vertical="center"/>
    </xf>
    <xf numFmtId="9" fontId="20" fillId="0" borderId="11" xfId="0" applyNumberFormat="1" applyFont="1" applyBorder="1" applyAlignment="1">
      <alignment horizontal="center" vertical="center"/>
    </xf>
    <xf numFmtId="3" fontId="20" fillId="4" borderId="10" xfId="0" applyNumberFormat="1" applyFont="1" applyFill="1" applyBorder="1" applyAlignment="1">
      <alignment horizontal="right" vertical="center"/>
    </xf>
    <xf numFmtId="3" fontId="20" fillId="4" borderId="11" xfId="0" applyNumberFormat="1" applyFont="1" applyFill="1" applyBorder="1" applyAlignment="1">
      <alignment horizontal="right" vertical="center"/>
    </xf>
    <xf numFmtId="0" fontId="11" fillId="4" borderId="10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vertical="center" wrapText="1"/>
    </xf>
    <xf numFmtId="9" fontId="20" fillId="0" borderId="10" xfId="0" applyNumberFormat="1" applyFont="1" applyBorder="1" applyAlignment="1">
      <alignment horizontal="center" vertical="center" wrapText="1"/>
    </xf>
    <xf numFmtId="9" fontId="20" fillId="0" borderId="11" xfId="0" applyNumberFormat="1" applyFont="1" applyBorder="1" applyAlignment="1">
      <alignment horizontal="center" vertical="center" wrapText="1"/>
    </xf>
    <xf numFmtId="9" fontId="11" fillId="0" borderId="11" xfId="0" applyNumberFormat="1" applyFont="1" applyBorder="1" applyAlignment="1">
      <alignment horizontal="center" vertical="center" wrapText="1"/>
    </xf>
    <xf numFmtId="3" fontId="20" fillId="4" borderId="10" xfId="0" applyNumberFormat="1" applyFont="1" applyFill="1" applyBorder="1" applyAlignment="1">
      <alignment horizontal="right" vertical="center" wrapText="1"/>
    </xf>
    <xf numFmtId="3" fontId="20" fillId="4" borderId="11" xfId="0" applyNumberFormat="1" applyFont="1" applyFill="1" applyBorder="1" applyAlignment="1">
      <alignment horizontal="right" vertical="center" wrapText="1"/>
    </xf>
    <xf numFmtId="3" fontId="11" fillId="4" borderId="11" xfId="0" applyNumberFormat="1" applyFont="1" applyFill="1" applyBorder="1" applyAlignment="1">
      <alignment horizontal="right" vertical="center" wrapText="1"/>
    </xf>
    <xf numFmtId="167" fontId="22" fillId="2" borderId="2" xfId="1" applyNumberFormat="1" applyFont="1" applyFill="1" applyBorder="1" applyAlignment="1">
      <alignment horizontal="center" vertical="center" wrapText="1"/>
    </xf>
    <xf numFmtId="14" fontId="22" fillId="5" borderId="2" xfId="0" quotePrefix="1" applyNumberFormat="1" applyFont="1" applyFill="1" applyBorder="1" applyAlignment="1">
      <alignment horizontal="center" vertical="center"/>
    </xf>
    <xf numFmtId="9" fontId="22" fillId="5" borderId="2" xfId="2" applyFont="1" applyFill="1" applyBorder="1" applyAlignment="1">
      <alignment horizontal="center" vertical="center"/>
    </xf>
    <xf numFmtId="2" fontId="22" fillId="5" borderId="2" xfId="0" applyNumberFormat="1" applyFont="1" applyFill="1" applyBorder="1" applyAlignment="1">
      <alignment horizontal="center" vertical="center"/>
    </xf>
    <xf numFmtId="164" fontId="22" fillId="5" borderId="2" xfId="0" applyNumberFormat="1" applyFont="1" applyFill="1" applyBorder="1" applyAlignment="1">
      <alignment vertical="center"/>
    </xf>
    <xf numFmtId="9" fontId="21" fillId="0" borderId="11" xfId="0" applyNumberFormat="1" applyFont="1" applyBorder="1" applyAlignment="1">
      <alignment horizontal="center" vertical="center"/>
    </xf>
    <xf numFmtId="9" fontId="21" fillId="5" borderId="2" xfId="2" applyFont="1" applyFill="1" applyBorder="1" applyAlignment="1">
      <alignment horizontal="center" vertical="center"/>
    </xf>
    <xf numFmtId="0" fontId="23" fillId="5" borderId="2" xfId="0" applyFont="1" applyFill="1" applyBorder="1"/>
    <xf numFmtId="3" fontId="21" fillId="4" borderId="11" xfId="0" applyNumberFormat="1" applyFont="1" applyFill="1" applyBorder="1" applyAlignment="1">
      <alignment horizontal="right" vertical="center"/>
    </xf>
    <xf numFmtId="0" fontId="23" fillId="5" borderId="0" xfId="0" applyFont="1" applyFill="1"/>
    <xf numFmtId="0" fontId="11" fillId="0" borderId="0" xfId="0" applyFont="1" applyAlignment="1">
      <alignment horizontal="justify" vertical="center"/>
    </xf>
    <xf numFmtId="164" fontId="0" fillId="0" borderId="0" xfId="1" applyNumberFormat="1" applyFont="1"/>
    <xf numFmtId="167" fontId="15" fillId="2" borderId="2" xfId="1" applyNumberFormat="1" applyFont="1" applyFill="1" applyBorder="1" applyAlignment="1">
      <alignment horizontal="center" vertical="center" wrapText="1"/>
    </xf>
    <xf numFmtId="14" fontId="15" fillId="5" borderId="2" xfId="0" quotePrefix="1" applyNumberFormat="1" applyFont="1" applyFill="1" applyBorder="1" applyAlignment="1">
      <alignment horizontal="center" vertical="center"/>
    </xf>
    <xf numFmtId="9" fontId="15" fillId="5" borderId="2" xfId="2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164" fontId="15" fillId="5" borderId="2" xfId="0" applyNumberFormat="1" applyFont="1" applyFill="1" applyBorder="1" applyAlignment="1">
      <alignment vertical="center"/>
    </xf>
    <xf numFmtId="9" fontId="18" fillId="0" borderId="11" xfId="0" applyNumberFormat="1" applyFont="1" applyBorder="1" applyAlignment="1">
      <alignment horizontal="center" vertical="center"/>
    </xf>
    <xf numFmtId="9" fontId="18" fillId="5" borderId="2" xfId="2" applyFont="1" applyFill="1" applyBorder="1" applyAlignment="1">
      <alignment horizontal="center" vertical="center"/>
    </xf>
    <xf numFmtId="0" fontId="17" fillId="5" borderId="2" xfId="0" applyFont="1" applyFill="1" applyBorder="1"/>
    <xf numFmtId="3" fontId="18" fillId="4" borderId="11" xfId="0" applyNumberFormat="1" applyFont="1" applyFill="1" applyBorder="1" applyAlignment="1">
      <alignment horizontal="right" vertical="center"/>
    </xf>
    <xf numFmtId="0" fontId="17" fillId="5" borderId="0" xfId="0" applyFont="1" applyFill="1"/>
    <xf numFmtId="9" fontId="20" fillId="2" borderId="11" xfId="0" applyNumberFormat="1" applyFont="1" applyFill="1" applyBorder="1" applyAlignment="1">
      <alignment horizontal="center" vertical="center"/>
    </xf>
    <xf numFmtId="3" fontId="20" fillId="2" borderId="11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3" fontId="0" fillId="0" borderId="0" xfId="0" applyNumberFormat="1"/>
    <xf numFmtId="0" fontId="11" fillId="2" borderId="2" xfId="0" applyFont="1" applyFill="1" applyBorder="1" applyAlignment="1">
      <alignment vertical="center" wrapText="1"/>
    </xf>
    <xf numFmtId="0" fontId="11" fillId="0" borderId="2" xfId="0" applyFont="1" applyBorder="1"/>
    <xf numFmtId="43" fontId="0" fillId="0" borderId="0" xfId="1" applyNumberFormat="1" applyFont="1"/>
    <xf numFmtId="0" fontId="4" fillId="5" borderId="0" xfId="0" applyFont="1" applyFill="1" applyAlignment="1">
      <alignment vertical="center" wrapText="1"/>
    </xf>
    <xf numFmtId="0" fontId="11" fillId="5" borderId="10" xfId="0" applyFont="1" applyFill="1" applyBorder="1" applyAlignment="1">
      <alignment horizontal="center" vertical="center"/>
    </xf>
    <xf numFmtId="9" fontId="4" fillId="5" borderId="2" xfId="0" applyNumberFormat="1" applyFont="1" applyFill="1" applyBorder="1" applyAlignment="1">
      <alignment horizontal="center" vertical="center" wrapText="1"/>
    </xf>
    <xf numFmtId="164" fontId="4" fillId="5" borderId="2" xfId="1" applyNumberFormat="1" applyFont="1" applyFill="1" applyBorder="1" applyAlignment="1">
      <alignment horizontal="center" vertical="center" wrapText="1"/>
    </xf>
    <xf numFmtId="9" fontId="20" fillId="5" borderId="10" xfId="0" applyNumberFormat="1" applyFont="1" applyFill="1" applyBorder="1" applyAlignment="1">
      <alignment horizontal="center" vertical="center"/>
    </xf>
    <xf numFmtId="164" fontId="4" fillId="5" borderId="2" xfId="0" applyNumberFormat="1" applyFont="1" applyFill="1" applyBorder="1" applyAlignment="1">
      <alignment vertical="center"/>
    </xf>
    <xf numFmtId="3" fontId="20" fillId="5" borderId="10" xfId="0" applyNumberFormat="1" applyFont="1" applyFill="1" applyBorder="1" applyAlignment="1">
      <alignment horizontal="right" vertical="center"/>
    </xf>
    <xf numFmtId="0" fontId="24" fillId="0" borderId="0" xfId="6"/>
    <xf numFmtId="0" fontId="14" fillId="0" borderId="2" xfId="0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9" fontId="7" fillId="2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</cellXfs>
  <cellStyles count="7">
    <cellStyle name="Comma" xfId="1" builtinId="3"/>
    <cellStyle name="Hyperlink" xfId="6" builtinId="8"/>
    <cellStyle name="Normal" xfId="0" builtinId="0"/>
    <cellStyle name="Normal 20" xfId="4"/>
    <cellStyle name="Normal 22" xfId="5"/>
    <cellStyle name="Normal_Bang tinh VTXD DT1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67864</xdr:colOff>
      <xdr:row>3</xdr:row>
      <xdr:rowOff>226220</xdr:rowOff>
    </xdr:from>
    <xdr:to>
      <xdr:col>41</xdr:col>
      <xdr:colOff>418621</xdr:colOff>
      <xdr:row>49</xdr:row>
      <xdr:rowOff>53182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78864" y="833439"/>
          <a:ext cx="5815725" cy="9064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67864</xdr:colOff>
      <xdr:row>3</xdr:row>
      <xdr:rowOff>226220</xdr:rowOff>
    </xdr:from>
    <xdr:to>
      <xdr:col>38</xdr:col>
      <xdr:colOff>418620</xdr:colOff>
      <xdr:row>39</xdr:row>
      <xdr:rowOff>134938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69339" y="826295"/>
          <a:ext cx="5837156" cy="9033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67864</xdr:colOff>
      <xdr:row>3</xdr:row>
      <xdr:rowOff>226220</xdr:rowOff>
    </xdr:from>
    <xdr:to>
      <xdr:col>41</xdr:col>
      <xdr:colOff>418621</xdr:colOff>
      <xdr:row>31</xdr:row>
      <xdr:rowOff>15082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57504" y="828200"/>
          <a:ext cx="5837157" cy="8803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Q6-vg8lEAiI" TargetMode="External"/><Relationship Id="rId7" Type="http://schemas.openxmlformats.org/officeDocument/2006/relationships/hyperlink" Target="https://dictech.vn/chi-phi-xay-ho-boi-300m2/" TargetMode="External"/><Relationship Id="rId2" Type="http://schemas.openxmlformats.org/officeDocument/2006/relationships/hyperlink" Target="https://nhagophucloc.com/mau-nha-go/nha-go-5-gian-32-cot-thong-gian-co-di" TargetMode="External"/><Relationship Id="rId1" Type="http://schemas.openxmlformats.org/officeDocument/2006/relationships/hyperlink" Target="https://lamnhago.com.vn/?gad_source=1&amp;gad_campaignid=23570717221&amp;gbraid=0AAAABCs8B5HtpS-8Scv-Dwg8C4712XQqC&amp;gclid=CjwKCAjw857RBhAgEiwAI-1yKJvsDqc9wM0dqhOv3wWAKeQgoJct3OlVm_4VLUa3p0mRAGVMjRD5shoCJooQAvD_BwE" TargetMode="External"/><Relationship Id="rId6" Type="http://schemas.openxmlformats.org/officeDocument/2006/relationships/hyperlink" Target="https://xaydungsuachuanhaviet.vn/bao-gia-thi-cong-be-boi.html" TargetMode="External"/><Relationship Id="rId5" Type="http://schemas.openxmlformats.org/officeDocument/2006/relationships/hyperlink" Target="https://gachluxcasa.vn/bao-gia-da-op-tuong/?srsltid=AfmBOoqyrMrQe-LLZzGhGFNkmAPEYQ2yN0We4rQT2kGPg6J6QWCH1JOU" TargetMode="External"/><Relationship Id="rId4" Type="http://schemas.openxmlformats.org/officeDocument/2006/relationships/hyperlink" Target="https://huyenquystone.com.vn/da-lat-san-vuon-tai-tong-kho-da-ha-noi/?gad_source=1&amp;gad_campaignid=21686304625&amp;gbraid=0AAAAADfXbg0LPt9moG528LxeUiz5mkd5P&amp;gclid=Cj0KCQjw3K7RBhDJARIsAKRtP5QBCzmKw2-78koer-FvgeFHhhIdJyOKNQPoQp44L8ZI2iNHC5ua0FcaAlWREALw_wcB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tabSelected="1" zoomScale="80" zoomScaleNormal="80" workbookViewId="0">
      <selection activeCell="R9" sqref="R9"/>
    </sheetView>
  </sheetViews>
  <sheetFormatPr defaultRowHeight="14.4"/>
  <cols>
    <col min="1" max="1" width="8.44140625" style="33" customWidth="1"/>
    <col min="2" max="2" width="15.5546875" hidden="1" customWidth="1"/>
    <col min="3" max="3" width="18.5546875" hidden="1" customWidth="1"/>
    <col min="4" max="4" width="48" style="61" customWidth="1"/>
    <col min="5" max="5" width="36.6640625" hidden="1" customWidth="1"/>
    <col min="6" max="6" width="16.88671875" style="34" hidden="1" customWidth="1"/>
    <col min="7" max="7" width="9.33203125" style="5" hidden="1" customWidth="1"/>
    <col min="8" max="8" width="18.88671875" style="5" hidden="1" customWidth="1"/>
    <col min="9" max="9" width="13.44140625" style="5" hidden="1" customWidth="1"/>
    <col min="10" max="10" width="12.6640625" style="5" hidden="1" customWidth="1"/>
    <col min="11" max="11" width="8.21875" style="5" hidden="1" customWidth="1"/>
    <col min="12" max="12" width="13.21875" style="5" customWidth="1"/>
    <col min="13" max="13" width="29.44140625" style="5" customWidth="1"/>
    <col min="14" max="14" width="12.109375" style="5" customWidth="1"/>
    <col min="15" max="15" width="11.88671875" style="5" customWidth="1"/>
    <col min="16" max="16" width="11.88671875" style="5" hidden="1" customWidth="1"/>
    <col min="17" max="17" width="10" style="6" customWidth="1"/>
    <col min="18" max="18" width="13.33203125" style="5" customWidth="1"/>
    <col min="19" max="19" width="13.21875" style="5" customWidth="1"/>
    <col min="20" max="20" width="9.6640625" style="6" customWidth="1"/>
    <col min="21" max="21" width="10.6640625" style="6" hidden="1" customWidth="1"/>
    <col min="22" max="22" width="16.33203125" style="6" hidden="1" customWidth="1"/>
    <col min="23" max="23" width="12.5546875" style="6" customWidth="1"/>
    <col min="24" max="24" width="19" style="5" customWidth="1"/>
    <col min="25" max="25" width="18.109375" style="5" hidden="1" customWidth="1"/>
    <col min="26" max="26" width="16.88671875" style="37" hidden="1" customWidth="1"/>
    <col min="27" max="27" width="22.44140625" style="37" hidden="1" customWidth="1"/>
    <col min="28" max="28" width="24.5546875" style="37" hidden="1" customWidth="1"/>
    <col min="29" max="29" width="17.33203125" hidden="1" customWidth="1"/>
    <col min="30" max="30" width="24.5546875" hidden="1" customWidth="1"/>
    <col min="31" max="31" width="15.109375" hidden="1" customWidth="1"/>
  </cols>
  <sheetData>
    <row r="1" spans="1:45" ht="15.6">
      <c r="A1" s="222" t="s">
        <v>26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88"/>
      <c r="Z1" s="1"/>
      <c r="AA1" s="1"/>
      <c r="AB1" s="1"/>
    </row>
    <row r="2" spans="1:45" ht="16.2">
      <c r="A2" s="223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89"/>
      <c r="Z2" s="2"/>
      <c r="AA2" s="63"/>
      <c r="AB2" s="63"/>
    </row>
    <row r="3" spans="1:45" ht="15.6">
      <c r="A3" s="224"/>
      <c r="B3" s="224"/>
      <c r="C3" s="224"/>
      <c r="D3" s="224"/>
      <c r="E3" s="224"/>
      <c r="F3" s="3"/>
      <c r="G3" s="4"/>
      <c r="H3" s="4"/>
      <c r="I3" s="4"/>
      <c r="J3" s="4"/>
      <c r="K3" s="4"/>
      <c r="L3" s="4"/>
      <c r="U3" s="225"/>
      <c r="V3" s="225"/>
      <c r="W3" s="225"/>
      <c r="X3" s="226"/>
      <c r="Y3" s="104"/>
      <c r="Z3" s="7"/>
      <c r="AA3" s="83"/>
      <c r="AB3" s="83"/>
    </row>
    <row r="4" spans="1:45" ht="52.2" customHeight="1">
      <c r="A4" s="227" t="s">
        <v>2</v>
      </c>
      <c r="B4" s="227" t="s">
        <v>3</v>
      </c>
      <c r="C4" s="227"/>
      <c r="D4" s="227" t="s">
        <v>49</v>
      </c>
      <c r="E4" s="228"/>
      <c r="F4" s="229"/>
      <c r="G4" s="218" t="s">
        <v>5</v>
      </c>
      <c r="H4" s="218" t="s">
        <v>90</v>
      </c>
      <c r="I4" s="218" t="s">
        <v>24</v>
      </c>
      <c r="J4" s="218" t="s">
        <v>150</v>
      </c>
      <c r="K4" s="218" t="s">
        <v>8</v>
      </c>
      <c r="L4" s="124"/>
      <c r="M4" s="219" t="s">
        <v>73</v>
      </c>
      <c r="N4" s="217" t="s">
        <v>9</v>
      </c>
      <c r="O4" s="217" t="s">
        <v>10</v>
      </c>
      <c r="P4" s="158" t="s">
        <v>11</v>
      </c>
      <c r="Q4" s="120" t="s">
        <v>11</v>
      </c>
      <c r="R4" s="217" t="s">
        <v>12</v>
      </c>
      <c r="S4" s="217"/>
      <c r="T4" s="217"/>
      <c r="U4" s="217"/>
      <c r="V4" s="217"/>
      <c r="W4" s="230" t="s">
        <v>149</v>
      </c>
      <c r="X4" s="219" t="s">
        <v>14</v>
      </c>
      <c r="Y4" s="220" t="s">
        <v>134</v>
      </c>
      <c r="Z4" s="221"/>
      <c r="AA4" s="221"/>
      <c r="AB4" s="221"/>
      <c r="AC4" s="221"/>
      <c r="AD4" s="221"/>
      <c r="AE4" s="221"/>
    </row>
    <row r="5" spans="1:45" ht="28.2" customHeight="1" thickBot="1">
      <c r="A5" s="227"/>
      <c r="B5" s="227"/>
      <c r="C5" s="227"/>
      <c r="D5" s="227"/>
      <c r="E5" s="228"/>
      <c r="F5" s="229"/>
      <c r="G5" s="218"/>
      <c r="H5" s="218"/>
      <c r="I5" s="218"/>
      <c r="J5" s="218"/>
      <c r="K5" s="218"/>
      <c r="L5" s="124"/>
      <c r="M5" s="219"/>
      <c r="N5" s="217"/>
      <c r="O5" s="217"/>
      <c r="P5" s="157">
        <v>2025</v>
      </c>
      <c r="Q5" s="120">
        <v>20.260000000000002</v>
      </c>
      <c r="R5" s="106" t="s">
        <v>16</v>
      </c>
      <c r="S5" s="106" t="s">
        <v>17</v>
      </c>
      <c r="T5" s="107" t="s">
        <v>82</v>
      </c>
      <c r="U5" s="107" t="s">
        <v>78</v>
      </c>
      <c r="V5" s="108" t="s">
        <v>77</v>
      </c>
      <c r="W5" s="231"/>
      <c r="X5" s="219"/>
      <c r="Y5" s="220"/>
      <c r="Z5" s="221"/>
      <c r="AA5" s="221"/>
      <c r="AB5" s="221"/>
      <c r="AC5" s="221"/>
      <c r="AD5" s="221"/>
      <c r="AE5" s="221"/>
      <c r="AS5">
        <f>5000000/52.9</f>
        <v>94517.958412098305</v>
      </c>
    </row>
    <row r="6" spans="1:45" ht="27" hidden="1" customHeight="1">
      <c r="A6" s="122" t="s">
        <v>20</v>
      </c>
      <c r="B6" s="122"/>
      <c r="C6" s="122"/>
      <c r="D6" s="91" t="s">
        <v>79</v>
      </c>
      <c r="E6" s="127"/>
      <c r="F6" s="91"/>
      <c r="G6" s="91"/>
      <c r="H6" s="92"/>
      <c r="I6" s="93"/>
      <c r="J6" s="94"/>
      <c r="K6" s="94"/>
      <c r="L6" s="94"/>
      <c r="M6" s="95"/>
      <c r="N6" s="96"/>
      <c r="O6" s="97"/>
      <c r="P6" s="97"/>
      <c r="Q6" s="98"/>
      <c r="R6" s="99"/>
      <c r="S6" s="100"/>
      <c r="T6" s="98"/>
      <c r="U6" s="98"/>
      <c r="V6" s="98"/>
      <c r="W6" s="98"/>
      <c r="X6" s="95">
        <v>38578320000</v>
      </c>
      <c r="Y6" s="105"/>
      <c r="Z6" s="8"/>
      <c r="AA6" s="85"/>
      <c r="AB6" s="85"/>
      <c r="AD6" s="9"/>
      <c r="AE6" s="10"/>
    </row>
    <row r="7" spans="1:45" ht="27" hidden="1" customHeight="1">
      <c r="A7" s="122"/>
      <c r="B7" s="122"/>
      <c r="C7" s="122"/>
      <c r="D7" s="91"/>
      <c r="E7" s="127"/>
      <c r="F7" s="91"/>
      <c r="G7" s="91"/>
      <c r="H7" s="92"/>
      <c r="I7" s="93"/>
      <c r="J7" s="94"/>
      <c r="K7" s="94"/>
      <c r="L7" s="94"/>
      <c r="M7" s="95"/>
      <c r="N7" s="96"/>
      <c r="O7" s="97"/>
      <c r="P7" s="97"/>
      <c r="Q7" s="98"/>
      <c r="R7" s="99"/>
      <c r="S7" s="100"/>
      <c r="T7" s="98"/>
      <c r="U7" s="98"/>
      <c r="V7" s="98"/>
      <c r="W7" s="98"/>
      <c r="X7" s="109"/>
      <c r="Y7" s="105"/>
      <c r="Z7" s="8"/>
      <c r="AA7" s="85"/>
      <c r="AB7" s="85"/>
      <c r="AD7" s="9"/>
      <c r="AE7" s="10"/>
    </row>
    <row r="8" spans="1:45" ht="26.4" customHeight="1" thickBot="1">
      <c r="A8" s="122" t="s">
        <v>50</v>
      </c>
      <c r="B8" s="122"/>
      <c r="C8" s="122"/>
      <c r="D8" s="91" t="s">
        <v>92</v>
      </c>
      <c r="E8" s="127"/>
      <c r="F8" s="91"/>
      <c r="G8" s="91"/>
      <c r="H8" s="92"/>
      <c r="I8" s="93"/>
      <c r="J8" s="94"/>
      <c r="K8" s="94"/>
      <c r="L8" s="94"/>
      <c r="M8" s="95"/>
      <c r="N8" s="96"/>
      <c r="O8" s="97"/>
      <c r="P8" s="97"/>
      <c r="Q8" s="98"/>
      <c r="R8" s="99"/>
      <c r="S8" s="100"/>
      <c r="T8" s="98"/>
      <c r="U8" s="98"/>
      <c r="V8" s="98"/>
      <c r="W8" s="98"/>
      <c r="X8" s="109"/>
      <c r="Y8" s="105"/>
      <c r="Z8" s="8"/>
      <c r="AA8" s="85"/>
      <c r="AB8" s="85"/>
      <c r="AD8" s="9"/>
      <c r="AE8" s="10"/>
    </row>
    <row r="9" spans="1:45" s="195" customFormat="1" ht="27" customHeight="1" thickBot="1">
      <c r="A9" s="142">
        <v>1</v>
      </c>
      <c r="B9" s="143" t="s">
        <v>21</v>
      </c>
      <c r="C9" s="144">
        <v>40486</v>
      </c>
      <c r="D9" s="145" t="s">
        <v>157</v>
      </c>
      <c r="E9" s="208" t="s">
        <v>80</v>
      </c>
      <c r="F9" s="111"/>
      <c r="G9" s="112" t="s">
        <v>37</v>
      </c>
      <c r="H9" s="113">
        <v>6452000</v>
      </c>
      <c r="I9" s="209">
        <v>129.9</v>
      </c>
      <c r="J9" s="210">
        <v>1.1000000000000001</v>
      </c>
      <c r="K9" s="126">
        <v>0.93500000000000005</v>
      </c>
      <c r="L9" s="211">
        <f>H9*K9/J9</f>
        <v>5484200</v>
      </c>
      <c r="M9" s="241">
        <v>2709090909</v>
      </c>
      <c r="N9" s="53">
        <v>44461</v>
      </c>
      <c r="O9" s="53" t="s">
        <v>156</v>
      </c>
      <c r="P9" s="212">
        <v>0.83</v>
      </c>
      <c r="Q9" s="146">
        <v>0.83</v>
      </c>
      <c r="R9" s="147">
        <f t="shared" ref="R9" si="0">(O9-N9)/365</f>
        <v>4.7753424657534245</v>
      </c>
      <c r="S9" s="189">
        <v>15</v>
      </c>
      <c r="T9" s="146">
        <f>IF((1-R9/S9)&gt;0,1-R9/S9,0)</f>
        <v>0.68164383561643838</v>
      </c>
      <c r="U9" s="146">
        <f>1-T9</f>
        <v>0.31835616438356162</v>
      </c>
      <c r="V9" s="159">
        <f>U9*M9</f>
        <v>862455790.75561643</v>
      </c>
      <c r="W9" s="146">
        <f>(Q9+T9)/2</f>
        <v>0.75582191780821917</v>
      </c>
      <c r="X9" s="213">
        <f>W9*M9</f>
        <v>2047590286.3571918</v>
      </c>
      <c r="Y9" s="212">
        <v>0.78</v>
      </c>
      <c r="Z9" s="192">
        <v>0.6</v>
      </c>
      <c r="AA9" s="190">
        <v>4410000</v>
      </c>
      <c r="AB9" s="190">
        <v>11878423200</v>
      </c>
      <c r="AC9" s="193"/>
      <c r="AD9" s="193"/>
      <c r="AE9" s="214">
        <v>506441115</v>
      </c>
    </row>
    <row r="10" spans="1:45" ht="15.6">
      <c r="A10" s="74">
        <v>36</v>
      </c>
      <c r="B10" s="75"/>
      <c r="C10" s="76"/>
      <c r="D10" s="216" t="s">
        <v>22</v>
      </c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119"/>
      <c r="V10" s="119"/>
      <c r="W10" s="156"/>
      <c r="X10" s="28">
        <f>SUM(X9:X9)</f>
        <v>2047590286.3571918</v>
      </c>
      <c r="Y10" s="28"/>
      <c r="Z10" s="102"/>
      <c r="AA10" s="25"/>
      <c r="AB10" s="102" t="e">
        <f>SUM(#REF!)</f>
        <v>#REF!</v>
      </c>
      <c r="AC10" s="103"/>
      <c r="AD10" s="103"/>
      <c r="AE10" s="204">
        <f>SUM(AE9:AE9)</f>
        <v>506441115</v>
      </c>
    </row>
    <row r="11" spans="1:45" s="31" customFormat="1" ht="15.6">
      <c r="A11" s="119">
        <v>37</v>
      </c>
      <c r="B11" s="30"/>
      <c r="C11" s="30"/>
      <c r="D11" s="216" t="s">
        <v>23</v>
      </c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119"/>
      <c r="V11" s="119"/>
      <c r="W11" s="156"/>
      <c r="X11" s="28">
        <f>ROUND(X10,-6)</f>
        <v>2048000000</v>
      </c>
      <c r="Y11" s="28"/>
      <c r="Z11" s="102"/>
      <c r="AA11" s="43">
        <v>30420000</v>
      </c>
      <c r="AB11" s="102"/>
      <c r="AC11" s="30"/>
      <c r="AD11" s="30"/>
      <c r="AE11" s="32"/>
    </row>
    <row r="12" spans="1:45">
      <c r="I12" s="5">
        <v>17535.599999999999</v>
      </c>
      <c r="AE12" s="207">
        <f>X11/AE10</f>
        <v>4.0439054795146321</v>
      </c>
    </row>
    <row r="13" spans="1:45">
      <c r="I13" s="5" t="e">
        <f>I12-#REF!</f>
        <v>#REF!</v>
      </c>
      <c r="Q13" s="6" t="s">
        <v>91</v>
      </c>
      <c r="R13" s="5" t="e">
        <f>#REF!*12</f>
        <v>#REF!</v>
      </c>
      <c r="T13" s="6">
        <v>0.83</v>
      </c>
      <c r="X13" s="38" t="e">
        <f>#REF!+#REF!+#REF!+#REF!+#REF!+#REF!+#REF!</f>
        <v>#REF!</v>
      </c>
      <c r="Y13" s="38"/>
    </row>
    <row r="14" spans="1:45">
      <c r="M14" s="6">
        <f>1/13</f>
        <v>7.6923076923076927E-2</v>
      </c>
      <c r="N14" s="5">
        <f>29.3*0.92</f>
        <v>26.956000000000003</v>
      </c>
      <c r="T14" s="6">
        <f>1500000000*98%</f>
        <v>1470000000</v>
      </c>
      <c r="X14" s="35">
        <v>2000000000</v>
      </c>
      <c r="Y14" s="35"/>
      <c r="Z14" s="36"/>
      <c r="AA14" s="36"/>
      <c r="AB14" s="36"/>
    </row>
    <row r="15" spans="1:45">
      <c r="F15" s="34" t="e">
        <f>X11-#REF!</f>
        <v>#REF!</v>
      </c>
      <c r="G15" s="5">
        <v>0.97499999999999998</v>
      </c>
      <c r="I15" s="5" t="e">
        <f>#REF!*G15</f>
        <v>#REF!</v>
      </c>
      <c r="X15" s="40" t="e">
        <f>X14/X13</f>
        <v>#REF!</v>
      </c>
      <c r="Y15" s="40"/>
    </row>
    <row r="16" spans="1:45">
      <c r="F16" s="34" t="e">
        <f>F15-#REF!-#REF!</f>
        <v>#REF!</v>
      </c>
      <c r="M16" s="35">
        <v>0.98</v>
      </c>
      <c r="R16" s="5" t="e">
        <f>(15-#REF!)/15</f>
        <v>#REF!</v>
      </c>
      <c r="T16" s="6" t="e">
        <f>(#REF!+#REF!)/2</f>
        <v>#REF!</v>
      </c>
      <c r="X16" s="38"/>
      <c r="Y16" s="38"/>
      <c r="Z16" s="39"/>
      <c r="AA16" s="39"/>
      <c r="AB16" s="39"/>
    </row>
    <row r="17" spans="9:25">
      <c r="M17" s="5" t="e">
        <f>#REF!*M16</f>
        <v>#REF!</v>
      </c>
      <c r="S17" s="5">
        <f>100/15*2</f>
        <v>13.333333333333334</v>
      </c>
      <c r="X17" s="6">
        <f>3.5/67.5</f>
        <v>5.185185185185185E-2</v>
      </c>
      <c r="Y17" s="6"/>
    </row>
    <row r="18" spans="9:25">
      <c r="I18" s="5" t="e">
        <f>1463000000/#REF!</f>
        <v>#REF!</v>
      </c>
    </row>
    <row r="20" spans="9:25">
      <c r="O20" s="40">
        <f>1/15</f>
        <v>6.6666666666666666E-2</v>
      </c>
      <c r="P20" s="40"/>
    </row>
    <row r="23" spans="9:25">
      <c r="J23" s="5">
        <v>76</v>
      </c>
    </row>
    <row r="24" spans="9:25">
      <c r="X24" s="5" t="s">
        <v>48</v>
      </c>
    </row>
    <row r="25" spans="9:25">
      <c r="M25" s="110">
        <f>500/82.5</f>
        <v>6.0606060606060606</v>
      </c>
    </row>
    <row r="26" spans="9:25">
      <c r="J26" s="110">
        <v>7611000000</v>
      </c>
      <c r="K26" s="38">
        <f>J26/1.1</f>
        <v>6919090909.090909</v>
      </c>
      <c r="M26" s="38">
        <f>K26/10000</f>
        <v>691909.09090909094</v>
      </c>
    </row>
    <row r="28" spans="9:25">
      <c r="M28" s="5">
        <f>825*270</f>
        <v>222750</v>
      </c>
    </row>
    <row r="31" spans="9:25">
      <c r="K31" s="5">
        <f>21000/825</f>
        <v>25.454545454545453</v>
      </c>
    </row>
    <row r="34" spans="9:18">
      <c r="I34" s="5">
        <f>121.7*19</f>
        <v>2312.3000000000002</v>
      </c>
    </row>
    <row r="35" spans="9:18">
      <c r="R35" s="5">
        <v>19000000000</v>
      </c>
    </row>
    <row r="36" spans="9:18">
      <c r="M36" s="5">
        <v>34000</v>
      </c>
      <c r="R36" s="5">
        <f>0.952*160*8225000*0.7</f>
        <v>876982400</v>
      </c>
    </row>
    <row r="37" spans="9:18">
      <c r="J37" s="5">
        <f>72*49</f>
        <v>3528</v>
      </c>
      <c r="M37" s="5">
        <f>85*57</f>
        <v>4845</v>
      </c>
      <c r="R37" s="5">
        <f>R35-R36</f>
        <v>18123017600</v>
      </c>
    </row>
    <row r="38" spans="9:18">
      <c r="M38" s="5">
        <f>M36/M37</f>
        <v>7.0175438596491224</v>
      </c>
      <c r="R38" s="5">
        <f>R37/80</f>
        <v>226537720</v>
      </c>
    </row>
    <row r="42" spans="9:18">
      <c r="M42" s="5">
        <f>M36/(J37+M37)</f>
        <v>4.0606712050638958</v>
      </c>
    </row>
  </sheetData>
  <autoFilter ref="A9:AS9"/>
  <mergeCells count="23">
    <mergeCell ref="Y4:AE5"/>
    <mergeCell ref="A1:X1"/>
    <mergeCell ref="A2:X2"/>
    <mergeCell ref="A3:E3"/>
    <mergeCell ref="U3:X3"/>
    <mergeCell ref="A4:A5"/>
    <mergeCell ref="B4:C5"/>
    <mergeCell ref="D4:D5"/>
    <mergeCell ref="E4:E5"/>
    <mergeCell ref="F4:F5"/>
    <mergeCell ref="G4:G5"/>
    <mergeCell ref="X4:X5"/>
    <mergeCell ref="H4:H5"/>
    <mergeCell ref="I4:I5"/>
    <mergeCell ref="J4:J5"/>
    <mergeCell ref="W4:W5"/>
    <mergeCell ref="D10:T10"/>
    <mergeCell ref="D11:T11"/>
    <mergeCell ref="N4:N5"/>
    <mergeCell ref="O4:O5"/>
    <mergeCell ref="K4:K5"/>
    <mergeCell ref="M4:M5"/>
    <mergeCell ref="R4:V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2:G14"/>
  <sheetViews>
    <sheetView workbookViewId="0">
      <selection activeCell="B29" sqref="A29:B29"/>
    </sheetView>
  </sheetViews>
  <sheetFormatPr defaultRowHeight="14.4"/>
  <cols>
    <col min="6" max="6" width="13.77734375" bestFit="1" customWidth="1"/>
    <col min="7" max="7" width="16.109375" customWidth="1"/>
  </cols>
  <sheetData>
    <row r="12" spans="4:7">
      <c r="D12" t="s">
        <v>152</v>
      </c>
      <c r="E12">
        <v>5989.6</v>
      </c>
      <c r="F12" s="184">
        <v>10800000</v>
      </c>
      <c r="G12" s="10">
        <f>F12*E12</f>
        <v>64687680000.000008</v>
      </c>
    </row>
    <row r="13" spans="4:7">
      <c r="D13" t="s">
        <v>153</v>
      </c>
      <c r="E13">
        <v>47035.4</v>
      </c>
      <c r="F13" s="10">
        <f>F12/2</f>
        <v>5400000</v>
      </c>
      <c r="G13" s="10">
        <f>F13*E13</f>
        <v>253991160000</v>
      </c>
    </row>
    <row r="14" spans="4:7">
      <c r="G14" s="10">
        <f>G12+G13</f>
        <v>318678840000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36"/>
  <sheetViews>
    <sheetView topLeftCell="B16" workbookViewId="0">
      <selection activeCell="D27" sqref="D27"/>
    </sheetView>
  </sheetViews>
  <sheetFormatPr defaultRowHeight="14.4"/>
  <cols>
    <col min="1" max="1" width="0" hidden="1" customWidth="1"/>
    <col min="3" max="4" width="23.44140625" customWidth="1"/>
    <col min="5" max="5" width="10.6640625" customWidth="1"/>
    <col min="6" max="6" width="10.5546875" customWidth="1"/>
    <col min="15" max="15" width="13.77734375" bestFit="1" customWidth="1"/>
  </cols>
  <sheetData>
    <row r="4" spans="2:6">
      <c r="B4" s="121" t="s">
        <v>2</v>
      </c>
      <c r="C4" s="121" t="s">
        <v>83</v>
      </c>
      <c r="D4" s="121"/>
      <c r="E4" s="121" t="s">
        <v>89</v>
      </c>
      <c r="F4" s="103"/>
    </row>
    <row r="5" spans="2:6">
      <c r="B5" s="121">
        <v>1</v>
      </c>
      <c r="C5" s="121" t="s">
        <v>84</v>
      </c>
      <c r="D5" s="121"/>
      <c r="E5" s="121"/>
      <c r="F5" s="103"/>
    </row>
    <row r="6" spans="2:6">
      <c r="B6" s="121">
        <v>2</v>
      </c>
      <c r="C6" s="121" t="s">
        <v>85</v>
      </c>
      <c r="D6" s="121"/>
      <c r="E6" s="121"/>
      <c r="F6" s="103"/>
    </row>
    <row r="7" spans="2:6">
      <c r="B7" s="121">
        <v>3</v>
      </c>
      <c r="C7" s="121" t="s">
        <v>86</v>
      </c>
      <c r="D7" s="121"/>
      <c r="E7" s="121"/>
      <c r="F7" s="103"/>
    </row>
    <row r="8" spans="2:6">
      <c r="B8" s="121">
        <v>4</v>
      </c>
      <c r="C8" s="121" t="s">
        <v>87</v>
      </c>
      <c r="D8" s="121"/>
      <c r="E8" s="121"/>
      <c r="F8" s="103"/>
    </row>
    <row r="9" spans="2:6">
      <c r="B9" s="121">
        <v>5</v>
      </c>
      <c r="C9" s="121" t="s">
        <v>88</v>
      </c>
      <c r="D9" s="121"/>
      <c r="E9" s="121"/>
      <c r="F9" s="103"/>
    </row>
    <row r="15" spans="2:6">
      <c r="C15" t="s">
        <v>135</v>
      </c>
      <c r="D15">
        <v>45</v>
      </c>
      <c r="E15" s="215" t="s">
        <v>136</v>
      </c>
    </row>
    <row r="16" spans="2:6">
      <c r="D16">
        <v>70</v>
      </c>
      <c r="E16" s="215" t="s">
        <v>137</v>
      </c>
    </row>
    <row r="17" spans="3:6">
      <c r="D17">
        <v>52</v>
      </c>
      <c r="E17" s="215" t="s">
        <v>138</v>
      </c>
    </row>
    <row r="20" spans="3:6">
      <c r="C20" t="s">
        <v>139</v>
      </c>
      <c r="D20" t="s">
        <v>141</v>
      </c>
      <c r="E20" s="215" t="s">
        <v>140</v>
      </c>
    </row>
    <row r="21" spans="3:6">
      <c r="D21" t="s">
        <v>143</v>
      </c>
      <c r="E21" s="215" t="s">
        <v>142</v>
      </c>
    </row>
    <row r="22" spans="3:6">
      <c r="D22" t="s">
        <v>144</v>
      </c>
      <c r="E22">
        <v>886078822</v>
      </c>
      <c r="F22">
        <v>355</v>
      </c>
    </row>
    <row r="24" spans="3:6" ht="124.8">
      <c r="C24" t="s">
        <v>146</v>
      </c>
      <c r="D24" s="184">
        <v>5100000</v>
      </c>
      <c r="E24" s="183" t="s">
        <v>145</v>
      </c>
    </row>
    <row r="25" spans="3:6">
      <c r="D25" s="184">
        <v>4500000</v>
      </c>
      <c r="E25" s="215" t="s">
        <v>147</v>
      </c>
    </row>
    <row r="26" spans="3:6">
      <c r="D26" s="184">
        <v>7500000</v>
      </c>
      <c r="E26" s="215" t="s">
        <v>148</v>
      </c>
    </row>
    <row r="34" spans="15:15">
      <c r="O34" s="184">
        <v>30000000</v>
      </c>
    </row>
    <row r="35" spans="15:15">
      <c r="O35" s="184">
        <f>O34/1.08</f>
        <v>27777777.777777776</v>
      </c>
    </row>
    <row r="36" spans="15:15">
      <c r="O36" s="184">
        <f>O34-O35</f>
        <v>2222222.2222222239</v>
      </c>
    </row>
  </sheetData>
  <hyperlinks>
    <hyperlink ref="E15" r:id="rId1"/>
    <hyperlink ref="E16" r:id="rId2"/>
    <hyperlink ref="E17" r:id="rId3"/>
    <hyperlink ref="E20" r:id="rId4"/>
    <hyperlink ref="E21" r:id="rId5"/>
    <hyperlink ref="E25" r:id="rId6"/>
    <hyperlink ref="E26" r:id="rId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zoomScale="80" zoomScaleNormal="80" workbookViewId="0">
      <selection activeCell="A4" sqref="A4:U40"/>
    </sheetView>
  </sheetViews>
  <sheetFormatPr defaultRowHeight="14.4"/>
  <cols>
    <col min="1" max="1" width="4.88671875" style="33" customWidth="1"/>
    <col min="2" max="2" width="15.5546875" hidden="1" customWidth="1"/>
    <col min="3" max="3" width="18.5546875" hidden="1" customWidth="1"/>
    <col min="4" max="4" width="37.5546875" customWidth="1"/>
    <col min="5" max="5" width="31.88671875" hidden="1" customWidth="1"/>
    <col min="6" max="6" width="16.88671875" style="34" hidden="1" customWidth="1"/>
    <col min="7" max="7" width="9.33203125" style="5" customWidth="1"/>
    <col min="8" max="8" width="14.44140625" style="5" hidden="1" customWidth="1"/>
    <col min="9" max="9" width="13.44140625" style="5" hidden="1" customWidth="1"/>
    <col min="10" max="10" width="14.5546875" style="5" hidden="1" customWidth="1"/>
    <col min="11" max="11" width="19.109375" style="5" hidden="1" customWidth="1"/>
    <col min="12" max="12" width="19" style="5" hidden="1" customWidth="1"/>
    <col min="13" max="13" width="9.109375" style="5" hidden="1" customWidth="1"/>
    <col min="14" max="14" width="12.109375" style="5" hidden="1" customWidth="1"/>
    <col min="15" max="15" width="11.88671875" style="5" hidden="1" customWidth="1"/>
    <col min="16" max="16" width="11.88671875" style="6" hidden="1" customWidth="1"/>
    <col min="17" max="17" width="11.109375" style="5" hidden="1" customWidth="1"/>
    <col min="18" max="18" width="15.44140625" style="5" hidden="1" customWidth="1"/>
    <col min="19" max="19" width="17.88671875" style="6" hidden="1" customWidth="1"/>
    <col min="20" max="20" width="15.6640625" style="6" customWidth="1"/>
    <col min="21" max="21" width="16.33203125" style="6" hidden="1" customWidth="1"/>
    <col min="22" max="22" width="31.6640625" style="5" hidden="1" customWidth="1"/>
    <col min="23" max="24" width="24.5546875" style="37" hidden="1" customWidth="1"/>
    <col min="25" max="25" width="24.5546875" style="37" customWidth="1"/>
    <col min="26" max="26" width="8.88671875" customWidth="1"/>
    <col min="27" max="27" width="22.44140625" customWidth="1"/>
    <col min="28" max="28" width="15.109375" bestFit="1" customWidth="1"/>
  </cols>
  <sheetData>
    <row r="1" spans="1:28" ht="15.6">
      <c r="A1" s="222" t="s">
        <v>26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1"/>
      <c r="X1" s="1"/>
      <c r="Y1" s="1"/>
    </row>
    <row r="2" spans="1:28" ht="16.2">
      <c r="A2" s="223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"/>
      <c r="X2" s="81"/>
      <c r="Y2" s="81"/>
    </row>
    <row r="3" spans="1:28" ht="15.6">
      <c r="A3" s="224"/>
      <c r="B3" s="224"/>
      <c r="C3" s="224"/>
      <c r="D3" s="224"/>
      <c r="E3" s="224"/>
      <c r="F3" s="3"/>
      <c r="G3" s="4"/>
      <c r="H3" s="4"/>
      <c r="I3" s="4"/>
      <c r="J3" s="4"/>
      <c r="K3" s="4"/>
      <c r="T3" s="226" t="s">
        <v>1</v>
      </c>
      <c r="U3" s="226"/>
      <c r="V3" s="226"/>
      <c r="W3" s="7"/>
      <c r="X3" s="83"/>
      <c r="Y3" s="83"/>
    </row>
    <row r="4" spans="1:28" ht="41.4">
      <c r="A4" s="227" t="s">
        <v>2</v>
      </c>
      <c r="B4" s="227" t="s">
        <v>3</v>
      </c>
      <c r="C4" s="227"/>
      <c r="D4" s="227" t="s">
        <v>49</v>
      </c>
      <c r="E4" s="228" t="s">
        <v>4</v>
      </c>
      <c r="F4" s="229"/>
      <c r="G4" s="218" t="s">
        <v>5</v>
      </c>
      <c r="H4" s="218" t="s">
        <v>6</v>
      </c>
      <c r="I4" s="218" t="s">
        <v>24</v>
      </c>
      <c r="J4" s="218" t="s">
        <v>7</v>
      </c>
      <c r="K4" s="218" t="s">
        <v>8</v>
      </c>
      <c r="L4" s="219" t="s">
        <v>73</v>
      </c>
      <c r="M4" s="217" t="s">
        <v>9</v>
      </c>
      <c r="N4" s="217" t="s">
        <v>9</v>
      </c>
      <c r="O4" s="217" t="s">
        <v>10</v>
      </c>
      <c r="P4" s="80" t="s">
        <v>11</v>
      </c>
      <c r="Q4" s="217" t="s">
        <v>12</v>
      </c>
      <c r="R4" s="217"/>
      <c r="S4" s="217"/>
      <c r="T4" s="240" t="s">
        <v>38</v>
      </c>
      <c r="U4" s="240" t="s">
        <v>74</v>
      </c>
      <c r="V4" s="219" t="s">
        <v>14</v>
      </c>
      <c r="W4" s="41" t="s">
        <v>15</v>
      </c>
      <c r="X4" s="237" t="s">
        <v>47</v>
      </c>
      <c r="Y4" s="84"/>
    </row>
    <row r="5" spans="1:28">
      <c r="A5" s="227"/>
      <c r="B5" s="227"/>
      <c r="C5" s="227"/>
      <c r="D5" s="227"/>
      <c r="E5" s="228"/>
      <c r="F5" s="229"/>
      <c r="G5" s="218"/>
      <c r="H5" s="218"/>
      <c r="I5" s="218"/>
      <c r="J5" s="218"/>
      <c r="K5" s="218"/>
      <c r="L5" s="219"/>
      <c r="M5" s="217"/>
      <c r="N5" s="217"/>
      <c r="O5" s="217"/>
      <c r="P5" s="80" t="s">
        <v>13</v>
      </c>
      <c r="Q5" s="79" t="s">
        <v>16</v>
      </c>
      <c r="R5" s="79" t="s">
        <v>17</v>
      </c>
      <c r="S5" s="80" t="s">
        <v>13</v>
      </c>
      <c r="T5" s="240"/>
      <c r="U5" s="240"/>
      <c r="V5" s="219"/>
      <c r="W5" s="42" t="s">
        <v>18</v>
      </c>
      <c r="X5" s="237"/>
      <c r="Y5" s="84" t="s">
        <v>19</v>
      </c>
    </row>
    <row r="6" spans="1:28" ht="51.75" hidden="1" customHeight="1">
      <c r="A6" s="82" t="s">
        <v>20</v>
      </c>
      <c r="B6" s="82"/>
      <c r="C6" s="82"/>
      <c r="D6" s="235"/>
      <c r="E6" s="235"/>
      <c r="F6" s="235"/>
      <c r="G6" s="235"/>
      <c r="H6" s="70"/>
      <c r="I6" s="15"/>
      <c r="J6" s="17"/>
      <c r="K6" s="17"/>
      <c r="L6" s="43"/>
      <c r="M6" s="43"/>
      <c r="N6" s="20"/>
      <c r="O6" s="21"/>
      <c r="P6" s="22"/>
      <c r="Q6" s="23"/>
      <c r="R6" s="24"/>
      <c r="S6" s="22"/>
      <c r="T6" s="22"/>
      <c r="U6" s="22"/>
      <c r="V6" s="43" t="e">
        <f>SUM(#REF!)</f>
        <v>#REF!</v>
      </c>
      <c r="W6" s="8"/>
      <c r="X6" s="85"/>
      <c r="Y6" s="85"/>
      <c r="AA6" s="9">
        <v>27809409443.179726</v>
      </c>
      <c r="AB6" s="10"/>
    </row>
    <row r="7" spans="1:28" ht="15.6" hidden="1">
      <c r="A7" s="11" t="s">
        <v>20</v>
      </c>
      <c r="B7" s="12" t="s">
        <v>21</v>
      </c>
      <c r="C7" s="13">
        <v>40486</v>
      </c>
      <c r="D7" s="238" t="s">
        <v>29</v>
      </c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5">
        <v>14662920961.620558</v>
      </c>
      <c r="W7" s="86">
        <v>0.6</v>
      </c>
      <c r="X7" s="58"/>
      <c r="Y7" s="60">
        <v>11878423200</v>
      </c>
    </row>
    <row r="8" spans="1:28" ht="15.6" hidden="1">
      <c r="A8" s="11">
        <v>1</v>
      </c>
      <c r="B8" s="12" t="s">
        <v>21</v>
      </c>
      <c r="C8" s="13">
        <v>40486</v>
      </c>
      <c r="D8" s="71" t="s">
        <v>36</v>
      </c>
      <c r="E8" s="65"/>
      <c r="F8" s="14"/>
      <c r="G8" s="15" t="s">
        <v>37</v>
      </c>
      <c r="H8" s="16">
        <f>1958000</f>
        <v>1958000</v>
      </c>
      <c r="I8" s="15">
        <v>2747.4</v>
      </c>
      <c r="J8" s="17">
        <v>1</v>
      </c>
      <c r="K8" s="16">
        <f>1958000*0.948</f>
        <v>1856184</v>
      </c>
      <c r="L8" s="69">
        <f>K8*I8</f>
        <v>5099679921.6000004</v>
      </c>
      <c r="M8" s="19">
        <v>45660</v>
      </c>
      <c r="N8" s="20">
        <v>42262</v>
      </c>
      <c r="O8" s="21" t="s">
        <v>27</v>
      </c>
      <c r="P8" s="22"/>
      <c r="Q8" s="23">
        <f t="shared" ref="Q8:Q14" si="0">(O8-N8)/365</f>
        <v>10.052054794520547</v>
      </c>
      <c r="R8" s="24">
        <v>25</v>
      </c>
      <c r="S8" s="22">
        <f t="shared" ref="S8:S14" si="1">IF((1-Q8/R8)&gt;0,1-Q8/R8,0)</f>
        <v>0.59791780821917806</v>
      </c>
      <c r="T8" s="22">
        <v>0.8</v>
      </c>
      <c r="U8" s="22">
        <f t="shared" ref="U8:U14" si="2">(S8+T8)/2</f>
        <v>0.69895890410958905</v>
      </c>
      <c r="V8" s="25">
        <f t="shared" ref="V8:V14" si="3">U8*L8</f>
        <v>3564466689.3112111</v>
      </c>
      <c r="W8" s="86">
        <v>0.6</v>
      </c>
      <c r="X8" s="239">
        <v>11700000</v>
      </c>
      <c r="Y8" s="60">
        <v>11878423200</v>
      </c>
    </row>
    <row r="9" spans="1:28" ht="15.6" hidden="1">
      <c r="A9" s="11">
        <v>2</v>
      </c>
      <c r="B9" s="12" t="s">
        <v>21</v>
      </c>
      <c r="C9" s="13">
        <v>40486</v>
      </c>
      <c r="D9" s="71" t="s">
        <v>30</v>
      </c>
      <c r="E9" s="65"/>
      <c r="F9" s="14"/>
      <c r="G9" s="15" t="s">
        <v>37</v>
      </c>
      <c r="H9" s="16">
        <f t="shared" ref="H9:H14" si="4">1958000</f>
        <v>1958000</v>
      </c>
      <c r="I9" s="15">
        <v>2640</v>
      </c>
      <c r="J9" s="17">
        <v>1</v>
      </c>
      <c r="K9" s="16">
        <f t="shared" ref="K9:K14" si="5">1958000*0.948</f>
        <v>1856184</v>
      </c>
      <c r="L9" s="69">
        <f t="shared" ref="L9:L14" si="6">K9*I9</f>
        <v>4900325760</v>
      </c>
      <c r="M9" s="19">
        <v>45660</v>
      </c>
      <c r="N9" s="20">
        <v>42262</v>
      </c>
      <c r="O9" s="21" t="s">
        <v>27</v>
      </c>
      <c r="P9" s="22"/>
      <c r="Q9" s="23">
        <f t="shared" si="0"/>
        <v>10.052054794520547</v>
      </c>
      <c r="R9" s="24">
        <v>25</v>
      </c>
      <c r="S9" s="22">
        <f t="shared" si="1"/>
        <v>0.59791780821917806</v>
      </c>
      <c r="T9" s="22">
        <v>0.8</v>
      </c>
      <c r="U9" s="22">
        <f t="shared" si="2"/>
        <v>0.69895890410958905</v>
      </c>
      <c r="V9" s="25">
        <f t="shared" si="3"/>
        <v>3425126322.9895892</v>
      </c>
      <c r="W9" s="86">
        <v>0.6</v>
      </c>
      <c r="X9" s="239"/>
      <c r="Y9" s="60">
        <v>11878423200</v>
      </c>
    </row>
    <row r="10" spans="1:28" ht="15.6" hidden="1">
      <c r="A10" s="11">
        <v>3</v>
      </c>
      <c r="B10" s="12" t="s">
        <v>21</v>
      </c>
      <c r="C10" s="13">
        <v>40486</v>
      </c>
      <c r="D10" s="71" t="s">
        <v>31</v>
      </c>
      <c r="E10" s="65"/>
      <c r="F10" s="14"/>
      <c r="G10" s="15" t="s">
        <v>37</v>
      </c>
      <c r="H10" s="16">
        <f t="shared" si="4"/>
        <v>1958000</v>
      </c>
      <c r="I10" s="15">
        <v>2611.1999999999998</v>
      </c>
      <c r="J10" s="17">
        <v>1</v>
      </c>
      <c r="K10" s="16">
        <f t="shared" si="5"/>
        <v>1856184</v>
      </c>
      <c r="L10" s="69">
        <f t="shared" si="6"/>
        <v>4846867660.7999992</v>
      </c>
      <c r="M10" s="19">
        <v>45660</v>
      </c>
      <c r="N10" s="20">
        <v>42262</v>
      </c>
      <c r="O10" s="21" t="s">
        <v>27</v>
      </c>
      <c r="P10" s="22"/>
      <c r="Q10" s="23">
        <f t="shared" si="0"/>
        <v>10.052054794520547</v>
      </c>
      <c r="R10" s="24">
        <v>25</v>
      </c>
      <c r="S10" s="22">
        <f t="shared" si="1"/>
        <v>0.59791780821917806</v>
      </c>
      <c r="T10" s="22">
        <v>0.8</v>
      </c>
      <c r="U10" s="22">
        <f t="shared" si="2"/>
        <v>0.69895890410958905</v>
      </c>
      <c r="V10" s="25">
        <f t="shared" si="3"/>
        <v>3387761308.5569749</v>
      </c>
      <c r="W10" s="86">
        <v>0.6</v>
      </c>
      <c r="X10" s="239"/>
      <c r="Y10" s="60">
        <v>11878423200</v>
      </c>
    </row>
    <row r="11" spans="1:28" ht="15.6" hidden="1">
      <c r="A11" s="11">
        <v>4</v>
      </c>
      <c r="B11" s="12" t="s">
        <v>21</v>
      </c>
      <c r="C11" s="13">
        <v>40486</v>
      </c>
      <c r="D11" s="71" t="s">
        <v>32</v>
      </c>
      <c r="E11" s="65"/>
      <c r="F11" s="14"/>
      <c r="G11" s="15" t="s">
        <v>37</v>
      </c>
      <c r="H11" s="16">
        <f t="shared" si="4"/>
        <v>1958000</v>
      </c>
      <c r="I11" s="15">
        <v>1305.5999999999999</v>
      </c>
      <c r="J11" s="17">
        <v>1</v>
      </c>
      <c r="K11" s="16">
        <f t="shared" si="5"/>
        <v>1856184</v>
      </c>
      <c r="L11" s="69">
        <f t="shared" si="6"/>
        <v>2423433830.3999996</v>
      </c>
      <c r="M11" s="19">
        <v>45660</v>
      </c>
      <c r="N11" s="20">
        <v>42262</v>
      </c>
      <c r="O11" s="21" t="s">
        <v>27</v>
      </c>
      <c r="P11" s="22"/>
      <c r="Q11" s="23">
        <f t="shared" si="0"/>
        <v>10.052054794520547</v>
      </c>
      <c r="R11" s="24">
        <v>25</v>
      </c>
      <c r="S11" s="22">
        <f t="shared" si="1"/>
        <v>0.59791780821917806</v>
      </c>
      <c r="T11" s="22">
        <v>0.8</v>
      </c>
      <c r="U11" s="22">
        <f t="shared" si="2"/>
        <v>0.69895890410958905</v>
      </c>
      <c r="V11" s="25">
        <f t="shared" si="3"/>
        <v>1693880654.2784874</v>
      </c>
      <c r="W11" s="86">
        <v>0.6</v>
      </c>
      <c r="X11" s="239"/>
      <c r="Y11" s="60">
        <v>11878423200</v>
      </c>
    </row>
    <row r="12" spans="1:28" ht="15.6" hidden="1">
      <c r="A12" s="11">
        <v>5</v>
      </c>
      <c r="B12" s="12" t="s">
        <v>21</v>
      </c>
      <c r="C12" s="13">
        <v>40486</v>
      </c>
      <c r="D12" s="71" t="s">
        <v>33</v>
      </c>
      <c r="E12" s="65"/>
      <c r="F12" s="14"/>
      <c r="G12" s="15" t="s">
        <v>37</v>
      </c>
      <c r="H12" s="16">
        <f t="shared" si="4"/>
        <v>1958000</v>
      </c>
      <c r="I12" s="15">
        <v>562</v>
      </c>
      <c r="J12" s="17">
        <v>1</v>
      </c>
      <c r="K12" s="16">
        <f t="shared" si="5"/>
        <v>1856184</v>
      </c>
      <c r="L12" s="69">
        <f t="shared" si="6"/>
        <v>1043175408</v>
      </c>
      <c r="M12" s="19">
        <v>45660</v>
      </c>
      <c r="N12" s="20">
        <v>42262</v>
      </c>
      <c r="O12" s="21" t="s">
        <v>27</v>
      </c>
      <c r="P12" s="22"/>
      <c r="Q12" s="23">
        <f t="shared" si="0"/>
        <v>10.052054794520547</v>
      </c>
      <c r="R12" s="24">
        <v>25</v>
      </c>
      <c r="S12" s="22">
        <f t="shared" si="1"/>
        <v>0.59791780821917806</v>
      </c>
      <c r="T12" s="22">
        <v>0.78</v>
      </c>
      <c r="U12" s="22">
        <f t="shared" si="2"/>
        <v>0.68895890410958904</v>
      </c>
      <c r="V12" s="25">
        <f t="shared" si="3"/>
        <v>718704985.88975346</v>
      </c>
      <c r="W12" s="86">
        <v>0.6</v>
      </c>
      <c r="X12" s="239"/>
      <c r="Y12" s="60">
        <v>11878423200</v>
      </c>
    </row>
    <row r="13" spans="1:28" ht="15.6" hidden="1">
      <c r="A13" s="11">
        <v>6</v>
      </c>
      <c r="B13" s="12" t="s">
        <v>21</v>
      </c>
      <c r="C13" s="13">
        <v>40486</v>
      </c>
      <c r="D13" s="71" t="s">
        <v>34</v>
      </c>
      <c r="E13" s="65"/>
      <c r="F13" s="14"/>
      <c r="G13" s="15" t="s">
        <v>37</v>
      </c>
      <c r="H13" s="16">
        <f t="shared" si="4"/>
        <v>1958000</v>
      </c>
      <c r="I13" s="15">
        <v>471</v>
      </c>
      <c r="J13" s="17">
        <v>1</v>
      </c>
      <c r="K13" s="16">
        <f t="shared" si="5"/>
        <v>1856184</v>
      </c>
      <c r="L13" s="69">
        <f t="shared" si="6"/>
        <v>874262664</v>
      </c>
      <c r="M13" s="19">
        <v>45660</v>
      </c>
      <c r="N13" s="20">
        <v>42262</v>
      </c>
      <c r="O13" s="21" t="s">
        <v>27</v>
      </c>
      <c r="P13" s="22"/>
      <c r="Q13" s="23">
        <f t="shared" si="0"/>
        <v>10.052054794520547</v>
      </c>
      <c r="R13" s="24">
        <v>25</v>
      </c>
      <c r="S13" s="22">
        <f t="shared" si="1"/>
        <v>0.59791780821917806</v>
      </c>
      <c r="T13" s="22">
        <v>0.78</v>
      </c>
      <c r="U13" s="22">
        <f t="shared" si="2"/>
        <v>0.68895890410958904</v>
      </c>
      <c r="V13" s="25">
        <f t="shared" si="3"/>
        <v>602331046.89336991</v>
      </c>
      <c r="W13" s="86">
        <v>0.6</v>
      </c>
      <c r="X13" s="239"/>
      <c r="Y13" s="60">
        <v>11878423200</v>
      </c>
    </row>
    <row r="14" spans="1:28" ht="15.6" hidden="1">
      <c r="A14" s="11">
        <v>7</v>
      </c>
      <c r="B14" s="12" t="s">
        <v>21</v>
      </c>
      <c r="C14" s="13">
        <v>40486</v>
      </c>
      <c r="D14" s="71" t="s">
        <v>35</v>
      </c>
      <c r="E14" s="65"/>
      <c r="F14" s="14"/>
      <c r="G14" s="15" t="s">
        <v>37</v>
      </c>
      <c r="H14" s="16">
        <f t="shared" si="4"/>
        <v>1958000</v>
      </c>
      <c r="I14" s="15">
        <v>993.6</v>
      </c>
      <c r="J14" s="17">
        <v>1</v>
      </c>
      <c r="K14" s="16">
        <f t="shared" si="5"/>
        <v>1856184</v>
      </c>
      <c r="L14" s="69">
        <f t="shared" si="6"/>
        <v>1844304422.4000001</v>
      </c>
      <c r="M14" s="19">
        <v>45660</v>
      </c>
      <c r="N14" s="20">
        <v>42262</v>
      </c>
      <c r="O14" s="21" t="s">
        <v>27</v>
      </c>
      <c r="P14" s="22"/>
      <c r="Q14" s="23">
        <f t="shared" si="0"/>
        <v>10.052054794520547</v>
      </c>
      <c r="R14" s="24">
        <v>25</v>
      </c>
      <c r="S14" s="22">
        <f t="shared" si="1"/>
        <v>0.59791780821917806</v>
      </c>
      <c r="T14" s="22">
        <v>0.78</v>
      </c>
      <c r="U14" s="22">
        <f t="shared" si="2"/>
        <v>0.68895890410958904</v>
      </c>
      <c r="V14" s="25">
        <f t="shared" si="3"/>
        <v>1270649953.7011726</v>
      </c>
      <c r="W14" s="86">
        <v>0.6</v>
      </c>
      <c r="X14" s="239"/>
      <c r="Y14" s="60">
        <v>11878423200</v>
      </c>
    </row>
    <row r="15" spans="1:28" ht="28.5" customHeight="1">
      <c r="A15" s="232" t="s">
        <v>57</v>
      </c>
      <c r="B15" s="233"/>
      <c r="C15" s="233"/>
      <c r="D15" s="234"/>
      <c r="E15" s="65"/>
      <c r="F15" s="14"/>
      <c r="G15" s="15"/>
      <c r="H15" s="16"/>
      <c r="I15" s="15"/>
      <c r="J15" s="17"/>
      <c r="K15" s="16"/>
      <c r="L15" s="69"/>
      <c r="M15" s="19"/>
      <c r="N15" s="20"/>
      <c r="O15" s="21"/>
      <c r="P15" s="22"/>
      <c r="Q15" s="23"/>
      <c r="R15" s="24"/>
      <c r="S15" s="22"/>
      <c r="T15" s="62"/>
      <c r="U15" s="22"/>
      <c r="V15" s="25">
        <f>V8+V9+V10+V11+V12+V13+V14</f>
        <v>14662920961.620558</v>
      </c>
      <c r="W15" s="64"/>
      <c r="X15" s="87"/>
      <c r="Y15" s="60"/>
    </row>
    <row r="16" spans="1:28" ht="39" hidden="1" customHeight="1">
      <c r="A16" s="82"/>
      <c r="B16" s="82"/>
      <c r="C16" s="82"/>
      <c r="D16" s="77"/>
      <c r="E16" s="77"/>
      <c r="F16" s="77"/>
      <c r="G16" s="77"/>
      <c r="H16" s="70"/>
      <c r="I16" s="15"/>
      <c r="J16" s="17"/>
      <c r="K16" s="17"/>
      <c r="L16" s="43"/>
      <c r="M16" s="43"/>
      <c r="N16" s="20"/>
      <c r="O16" s="21"/>
      <c r="P16" s="22"/>
      <c r="Q16" s="23"/>
      <c r="R16" s="24"/>
      <c r="S16" s="22"/>
      <c r="T16" s="22"/>
      <c r="U16" s="22"/>
      <c r="V16" s="43"/>
      <c r="W16" s="8"/>
      <c r="X16" s="85"/>
      <c r="Y16" s="85"/>
      <c r="AA16" s="9"/>
      <c r="AB16" s="10"/>
    </row>
    <row r="17" spans="1:28">
      <c r="A17" s="82">
        <v>1</v>
      </c>
      <c r="B17" s="82"/>
      <c r="C17" s="82"/>
      <c r="D17" s="235" t="s">
        <v>58</v>
      </c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5"/>
      <c r="W17" s="8"/>
      <c r="X17" s="85"/>
      <c r="Y17" s="85"/>
      <c r="AA17" s="9"/>
      <c r="AB17" s="10"/>
    </row>
    <row r="18" spans="1:28" s="61" customFormat="1" ht="31.2">
      <c r="A18" s="44" t="s">
        <v>51</v>
      </c>
      <c r="B18" s="45" t="s">
        <v>21</v>
      </c>
      <c r="C18" s="46">
        <v>40486</v>
      </c>
      <c r="D18" s="67" t="s">
        <v>52</v>
      </c>
      <c r="E18" s="68"/>
      <c r="F18" s="47"/>
      <c r="G18" s="48" t="s">
        <v>25</v>
      </c>
      <c r="H18" s="49"/>
      <c r="I18" s="48">
        <v>1</v>
      </c>
      <c r="J18" s="50">
        <v>1</v>
      </c>
      <c r="K18" s="51"/>
      <c r="L18" s="72">
        <v>580000000</v>
      </c>
      <c r="M18" s="52">
        <v>45660</v>
      </c>
      <c r="N18" s="53">
        <v>42360</v>
      </c>
      <c r="O18" s="54" t="s">
        <v>27</v>
      </c>
      <c r="P18" s="55"/>
      <c r="Q18" s="56">
        <f>(O18-N18)/365</f>
        <v>9.7835616438356166</v>
      </c>
      <c r="R18" s="57">
        <v>10</v>
      </c>
      <c r="S18" s="55">
        <f>IF((1-Q18/R18)&gt;0,1-Q18/R18,0)</f>
        <v>2.1643835616438345E-2</v>
      </c>
      <c r="T18" s="55">
        <v>0.5</v>
      </c>
      <c r="U18" s="55">
        <v>0.5</v>
      </c>
      <c r="V18" s="58">
        <f>U18*L18</f>
        <v>290000000</v>
      </c>
      <c r="W18" s="59">
        <v>0.6</v>
      </c>
      <c r="X18" s="58">
        <v>1350000</v>
      </c>
      <c r="Y18" s="60">
        <v>11878423200</v>
      </c>
    </row>
    <row r="19" spans="1:28" s="61" customFormat="1" ht="28.5" customHeight="1">
      <c r="A19" s="44">
        <v>2</v>
      </c>
      <c r="B19" s="45"/>
      <c r="C19" s="46"/>
      <c r="D19" s="235" t="s">
        <v>59</v>
      </c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58"/>
      <c r="W19" s="59"/>
      <c r="X19" s="58"/>
      <c r="Y19" s="60"/>
    </row>
    <row r="20" spans="1:28" s="61" customFormat="1" ht="15.6" hidden="1">
      <c r="A20" s="44"/>
      <c r="B20" s="45"/>
      <c r="C20" s="46"/>
      <c r="D20" s="67"/>
      <c r="E20" s="68"/>
      <c r="F20" s="47"/>
      <c r="G20" s="48"/>
      <c r="H20" s="49"/>
      <c r="I20" s="48"/>
      <c r="J20" s="50"/>
      <c r="K20" s="51"/>
      <c r="L20" s="72"/>
      <c r="M20" s="52"/>
      <c r="N20" s="53"/>
      <c r="O20" s="54"/>
      <c r="P20" s="55"/>
      <c r="Q20" s="56"/>
      <c r="R20" s="57"/>
      <c r="S20" s="55"/>
      <c r="T20" s="55"/>
      <c r="U20" s="55"/>
      <c r="V20" s="58"/>
      <c r="W20" s="59"/>
      <c r="X20" s="58"/>
      <c r="Y20" s="60"/>
    </row>
    <row r="21" spans="1:28" s="61" customFormat="1" ht="31.2">
      <c r="A21" s="44" t="s">
        <v>51</v>
      </c>
      <c r="B21" s="45" t="s">
        <v>21</v>
      </c>
      <c r="C21" s="46">
        <v>40486</v>
      </c>
      <c r="D21" s="67" t="s">
        <v>53</v>
      </c>
      <c r="E21" s="68"/>
      <c r="F21" s="47"/>
      <c r="G21" s="48" t="s">
        <v>25</v>
      </c>
      <c r="H21" s="49"/>
      <c r="I21" s="48">
        <v>1</v>
      </c>
      <c r="J21" s="50">
        <v>1</v>
      </c>
      <c r="K21" s="51"/>
      <c r="L21" s="72">
        <v>1245454343</v>
      </c>
      <c r="M21" s="52">
        <v>45660</v>
      </c>
      <c r="N21" s="53">
        <v>42954</v>
      </c>
      <c r="O21" s="54" t="s">
        <v>27</v>
      </c>
      <c r="P21" s="55"/>
      <c r="Q21" s="56">
        <f>(O21-N21)/365</f>
        <v>8.1561643835616433</v>
      </c>
      <c r="R21" s="57">
        <v>10</v>
      </c>
      <c r="S21" s="55">
        <f>IF((1-Q21/R21)&gt;0,1-Q21/R21,0)</f>
        <v>0.18438356164383563</v>
      </c>
      <c r="T21" s="55">
        <v>0.6</v>
      </c>
      <c r="U21" s="55">
        <v>0.6</v>
      </c>
      <c r="V21" s="58">
        <f>U21*L21</f>
        <v>747272605.79999995</v>
      </c>
      <c r="W21" s="59">
        <v>0.6</v>
      </c>
      <c r="X21" s="58">
        <v>1350000</v>
      </c>
      <c r="Y21" s="60">
        <v>11878423200</v>
      </c>
    </row>
    <row r="22" spans="1:28" s="61" customFormat="1" ht="15.6">
      <c r="A22" s="44">
        <v>3</v>
      </c>
      <c r="B22" s="45" t="s">
        <v>21</v>
      </c>
      <c r="C22" s="46">
        <v>40486</v>
      </c>
      <c r="D22" s="235" t="s">
        <v>60</v>
      </c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58">
        <f>V23+V24+V25+V26+V27+V28+V29+V30</f>
        <v>2330884931.5068493</v>
      </c>
      <c r="W22" s="59">
        <f>(T22+S22)/2</f>
        <v>0</v>
      </c>
      <c r="X22" s="58">
        <v>1350000</v>
      </c>
      <c r="Y22" s="60">
        <v>11878423200</v>
      </c>
    </row>
    <row r="23" spans="1:28" s="61" customFormat="1" ht="46.8">
      <c r="A23" s="44" t="s">
        <v>51</v>
      </c>
      <c r="B23" s="45" t="s">
        <v>21</v>
      </c>
      <c r="C23" s="46">
        <v>40486</v>
      </c>
      <c r="D23" s="67" t="s">
        <v>54</v>
      </c>
      <c r="E23" s="68"/>
      <c r="F23" s="47"/>
      <c r="G23" s="48" t="s">
        <v>56</v>
      </c>
      <c r="H23" s="49"/>
      <c r="I23" s="48">
        <v>1</v>
      </c>
      <c r="J23" s="50">
        <v>1</v>
      </c>
      <c r="K23" s="51"/>
      <c r="L23" s="72">
        <v>1495000000</v>
      </c>
      <c r="M23" s="52">
        <v>45660</v>
      </c>
      <c r="N23" s="53">
        <v>42633</v>
      </c>
      <c r="O23" s="54" t="s">
        <v>27</v>
      </c>
      <c r="P23" s="55"/>
      <c r="Q23" s="56">
        <f t="shared" ref="Q23:Q38" si="7">(O23-N23)/365</f>
        <v>9.0356164383561648</v>
      </c>
      <c r="R23" s="57">
        <v>20</v>
      </c>
      <c r="S23" s="55">
        <f t="shared" ref="S23:S38" si="8">IF((1-Q23/R23)&gt;0,1-Q23/R23,0)</f>
        <v>0.54821917808219178</v>
      </c>
      <c r="T23" s="55">
        <v>0.6</v>
      </c>
      <c r="U23" s="55">
        <f t="shared" ref="U23:U38" si="9">(S23+T23)/2</f>
        <v>0.57410958904109588</v>
      </c>
      <c r="V23" s="58">
        <f t="shared" ref="V23:V38" si="10">U23*L23</f>
        <v>858293835.61643839</v>
      </c>
      <c r="W23" s="59">
        <v>0.6</v>
      </c>
      <c r="X23" s="58">
        <v>4410000</v>
      </c>
      <c r="Y23" s="60">
        <v>11878423200</v>
      </c>
    </row>
    <row r="24" spans="1:28" s="61" customFormat="1" ht="31.2">
      <c r="A24" s="44" t="s">
        <v>51</v>
      </c>
      <c r="B24" s="45"/>
      <c r="C24" s="46"/>
      <c r="D24" s="67" t="s">
        <v>55</v>
      </c>
      <c r="E24" s="68"/>
      <c r="F24" s="47"/>
      <c r="G24" s="48" t="s">
        <v>56</v>
      </c>
      <c r="H24" s="49"/>
      <c r="I24" s="48">
        <v>1</v>
      </c>
      <c r="J24" s="50">
        <v>1</v>
      </c>
      <c r="K24" s="51"/>
      <c r="L24" s="72">
        <v>955000000</v>
      </c>
      <c r="M24" s="52"/>
      <c r="N24" s="53">
        <v>42633</v>
      </c>
      <c r="O24" s="54" t="s">
        <v>27</v>
      </c>
      <c r="P24" s="55"/>
      <c r="Q24" s="56">
        <f t="shared" si="7"/>
        <v>9.0356164383561648</v>
      </c>
      <c r="R24" s="57">
        <v>20</v>
      </c>
      <c r="S24" s="55">
        <f t="shared" si="8"/>
        <v>0.54821917808219178</v>
      </c>
      <c r="T24" s="55">
        <v>0.6</v>
      </c>
      <c r="U24" s="55">
        <f t="shared" si="9"/>
        <v>0.57410958904109588</v>
      </c>
      <c r="V24" s="58">
        <f t="shared" si="10"/>
        <v>548274657.53424656</v>
      </c>
      <c r="W24" s="59"/>
      <c r="X24" s="58"/>
      <c r="Y24" s="60"/>
    </row>
    <row r="25" spans="1:28" s="61" customFormat="1" ht="31.2">
      <c r="A25" s="44" t="s">
        <v>51</v>
      </c>
      <c r="B25" s="45"/>
      <c r="C25" s="46"/>
      <c r="D25" s="67" t="s">
        <v>61</v>
      </c>
      <c r="E25" s="68"/>
      <c r="F25" s="47"/>
      <c r="G25" s="48" t="s">
        <v>56</v>
      </c>
      <c r="H25" s="49"/>
      <c r="I25" s="48">
        <v>1</v>
      </c>
      <c r="J25" s="50">
        <v>1</v>
      </c>
      <c r="K25" s="51"/>
      <c r="L25" s="72">
        <v>825000000</v>
      </c>
      <c r="M25" s="52"/>
      <c r="N25" s="53">
        <v>42633</v>
      </c>
      <c r="O25" s="54" t="s">
        <v>27</v>
      </c>
      <c r="P25" s="55"/>
      <c r="Q25" s="56">
        <f t="shared" si="7"/>
        <v>9.0356164383561648</v>
      </c>
      <c r="R25" s="57">
        <v>20</v>
      </c>
      <c r="S25" s="55">
        <f t="shared" si="8"/>
        <v>0.54821917808219178</v>
      </c>
      <c r="T25" s="55">
        <v>0.6</v>
      </c>
      <c r="U25" s="55">
        <f t="shared" si="9"/>
        <v>0.57410958904109588</v>
      </c>
      <c r="V25" s="58">
        <f t="shared" si="10"/>
        <v>473640410.95890409</v>
      </c>
      <c r="W25" s="59"/>
      <c r="X25" s="58"/>
      <c r="Y25" s="60"/>
    </row>
    <row r="26" spans="1:28" s="61" customFormat="1" ht="45.75" customHeight="1">
      <c r="A26" s="44" t="s">
        <v>51</v>
      </c>
      <c r="B26" s="45"/>
      <c r="C26" s="46"/>
      <c r="D26" s="67" t="s">
        <v>63</v>
      </c>
      <c r="E26" s="68"/>
      <c r="F26" s="47"/>
      <c r="G26" s="48" t="s">
        <v>56</v>
      </c>
      <c r="H26" s="49"/>
      <c r="I26" s="48">
        <v>1</v>
      </c>
      <c r="J26" s="50">
        <v>1</v>
      </c>
      <c r="K26" s="51"/>
      <c r="L26" s="72">
        <v>142000000</v>
      </c>
      <c r="M26" s="52"/>
      <c r="N26" s="53">
        <v>42633</v>
      </c>
      <c r="O26" s="54" t="s">
        <v>27</v>
      </c>
      <c r="P26" s="55"/>
      <c r="Q26" s="56">
        <f t="shared" si="7"/>
        <v>9.0356164383561648</v>
      </c>
      <c r="R26" s="57">
        <v>20</v>
      </c>
      <c r="S26" s="55">
        <f t="shared" si="8"/>
        <v>0.54821917808219178</v>
      </c>
      <c r="T26" s="55">
        <v>0.6</v>
      </c>
      <c r="U26" s="55">
        <f t="shared" si="9"/>
        <v>0.57410958904109588</v>
      </c>
      <c r="V26" s="58">
        <f t="shared" si="10"/>
        <v>81523561.643835619</v>
      </c>
      <c r="W26" s="59"/>
      <c r="X26" s="58"/>
      <c r="Y26" s="60"/>
    </row>
    <row r="27" spans="1:28" s="61" customFormat="1" ht="45" customHeight="1">
      <c r="A27" s="44" t="s">
        <v>51</v>
      </c>
      <c r="B27" s="45"/>
      <c r="C27" s="46"/>
      <c r="D27" s="67" t="s">
        <v>62</v>
      </c>
      <c r="E27" s="68"/>
      <c r="F27" s="47"/>
      <c r="G27" s="48" t="s">
        <v>56</v>
      </c>
      <c r="H27" s="49"/>
      <c r="I27" s="48">
        <v>1</v>
      </c>
      <c r="J27" s="50">
        <v>1</v>
      </c>
      <c r="K27" s="51"/>
      <c r="L27" s="72">
        <v>115000000</v>
      </c>
      <c r="M27" s="52"/>
      <c r="N27" s="53">
        <v>42633</v>
      </c>
      <c r="O27" s="54" t="s">
        <v>27</v>
      </c>
      <c r="P27" s="55"/>
      <c r="Q27" s="56">
        <f t="shared" si="7"/>
        <v>9.0356164383561648</v>
      </c>
      <c r="R27" s="57">
        <v>20</v>
      </c>
      <c r="S27" s="55">
        <f t="shared" si="8"/>
        <v>0.54821917808219178</v>
      </c>
      <c r="T27" s="55">
        <v>0.6</v>
      </c>
      <c r="U27" s="55">
        <f t="shared" si="9"/>
        <v>0.57410958904109588</v>
      </c>
      <c r="V27" s="58">
        <f t="shared" si="10"/>
        <v>66022602.739726029</v>
      </c>
      <c r="W27" s="59"/>
      <c r="X27" s="58"/>
      <c r="Y27" s="60"/>
    </row>
    <row r="28" spans="1:28" s="61" customFormat="1" ht="31.2">
      <c r="A28" s="44" t="s">
        <v>51</v>
      </c>
      <c r="B28" s="45"/>
      <c r="C28" s="46"/>
      <c r="D28" s="67" t="s">
        <v>64</v>
      </c>
      <c r="E28" s="68"/>
      <c r="F28" s="47"/>
      <c r="G28" s="48" t="s">
        <v>56</v>
      </c>
      <c r="H28" s="49"/>
      <c r="I28" s="48">
        <v>1</v>
      </c>
      <c r="J28" s="50">
        <v>1</v>
      </c>
      <c r="K28" s="51"/>
      <c r="L28" s="72">
        <v>80000000</v>
      </c>
      <c r="M28" s="52"/>
      <c r="N28" s="53">
        <v>42633</v>
      </c>
      <c r="O28" s="54" t="s">
        <v>27</v>
      </c>
      <c r="P28" s="55"/>
      <c r="Q28" s="56">
        <f t="shared" si="7"/>
        <v>9.0356164383561648</v>
      </c>
      <c r="R28" s="57">
        <v>20</v>
      </c>
      <c r="S28" s="55">
        <f t="shared" si="8"/>
        <v>0.54821917808219178</v>
      </c>
      <c r="T28" s="55">
        <v>0.6</v>
      </c>
      <c r="U28" s="55">
        <f t="shared" si="9"/>
        <v>0.57410958904109588</v>
      </c>
      <c r="V28" s="58">
        <f t="shared" si="10"/>
        <v>45928767.12328767</v>
      </c>
      <c r="W28" s="59"/>
      <c r="X28" s="58"/>
      <c r="Y28" s="60"/>
    </row>
    <row r="29" spans="1:28" s="61" customFormat="1" ht="46.8">
      <c r="A29" s="44" t="s">
        <v>51</v>
      </c>
      <c r="B29" s="45"/>
      <c r="C29" s="46"/>
      <c r="D29" s="67" t="s">
        <v>65</v>
      </c>
      <c r="E29" s="68"/>
      <c r="F29" s="47"/>
      <c r="G29" s="48" t="s">
        <v>56</v>
      </c>
      <c r="H29" s="49"/>
      <c r="I29" s="48">
        <v>1</v>
      </c>
      <c r="J29" s="50">
        <v>1</v>
      </c>
      <c r="K29" s="51"/>
      <c r="L29" s="72">
        <v>228000000</v>
      </c>
      <c r="M29" s="52"/>
      <c r="N29" s="53">
        <v>42633</v>
      </c>
      <c r="O29" s="54" t="s">
        <v>27</v>
      </c>
      <c r="P29" s="55"/>
      <c r="Q29" s="56">
        <f t="shared" si="7"/>
        <v>9.0356164383561648</v>
      </c>
      <c r="R29" s="57">
        <v>20</v>
      </c>
      <c r="S29" s="55">
        <f t="shared" si="8"/>
        <v>0.54821917808219178</v>
      </c>
      <c r="T29" s="55">
        <v>0.6</v>
      </c>
      <c r="U29" s="55">
        <f t="shared" si="9"/>
        <v>0.57410958904109588</v>
      </c>
      <c r="V29" s="58">
        <f t="shared" si="10"/>
        <v>130896986.30136986</v>
      </c>
      <c r="W29" s="59"/>
      <c r="X29" s="58"/>
      <c r="Y29" s="60"/>
    </row>
    <row r="30" spans="1:28" s="61" customFormat="1" ht="46.8">
      <c r="A30" s="44" t="s">
        <v>51</v>
      </c>
      <c r="B30" s="45"/>
      <c r="C30" s="46"/>
      <c r="D30" s="67" t="s">
        <v>66</v>
      </c>
      <c r="E30" s="68"/>
      <c r="F30" s="47"/>
      <c r="G30" s="48" t="s">
        <v>56</v>
      </c>
      <c r="H30" s="49"/>
      <c r="I30" s="48">
        <v>1</v>
      </c>
      <c r="J30" s="50">
        <v>1</v>
      </c>
      <c r="K30" s="51"/>
      <c r="L30" s="72">
        <v>220000000</v>
      </c>
      <c r="M30" s="52"/>
      <c r="N30" s="53">
        <v>42633</v>
      </c>
      <c r="O30" s="54" t="s">
        <v>27</v>
      </c>
      <c r="P30" s="55"/>
      <c r="Q30" s="56">
        <f t="shared" si="7"/>
        <v>9.0356164383561648</v>
      </c>
      <c r="R30" s="57">
        <v>20</v>
      </c>
      <c r="S30" s="55">
        <f t="shared" si="8"/>
        <v>0.54821917808219178</v>
      </c>
      <c r="T30" s="55">
        <v>0.6</v>
      </c>
      <c r="U30" s="55">
        <f t="shared" si="9"/>
        <v>0.57410958904109588</v>
      </c>
      <c r="V30" s="58">
        <f t="shared" si="10"/>
        <v>126304109.5890411</v>
      </c>
      <c r="W30" s="59"/>
      <c r="X30" s="58"/>
      <c r="Y30" s="60"/>
    </row>
    <row r="31" spans="1:28" s="61" customFormat="1" ht="15.6">
      <c r="A31" s="44">
        <v>4</v>
      </c>
      <c r="B31" s="45"/>
      <c r="C31" s="46"/>
      <c r="D31" s="235" t="s">
        <v>76</v>
      </c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58">
        <f>V32+V33+V34+V35+V36</f>
        <v>1206197602.7397261</v>
      </c>
      <c r="W31" s="59"/>
      <c r="X31" s="58"/>
      <c r="Y31" s="60"/>
    </row>
    <row r="32" spans="1:28" s="61" customFormat="1" ht="15.6">
      <c r="A32" s="44" t="s">
        <v>51</v>
      </c>
      <c r="B32" s="45"/>
      <c r="C32" s="46"/>
      <c r="D32" s="66" t="s">
        <v>67</v>
      </c>
      <c r="E32" s="68"/>
      <c r="F32" s="47"/>
      <c r="G32" s="48" t="s">
        <v>56</v>
      </c>
      <c r="H32" s="49"/>
      <c r="I32" s="48"/>
      <c r="J32" s="50">
        <v>1</v>
      </c>
      <c r="K32" s="51"/>
      <c r="L32" s="72">
        <v>215000000</v>
      </c>
      <c r="M32" s="52"/>
      <c r="N32" s="53">
        <v>42274</v>
      </c>
      <c r="O32" s="54" t="s">
        <v>27</v>
      </c>
      <c r="P32" s="55"/>
      <c r="Q32" s="56">
        <f t="shared" si="7"/>
        <v>10.019178082191781</v>
      </c>
      <c r="R32" s="57">
        <v>20</v>
      </c>
      <c r="S32" s="55">
        <f t="shared" si="8"/>
        <v>0.49904109589041101</v>
      </c>
      <c r="T32" s="55">
        <v>0.6</v>
      </c>
      <c r="U32" s="55">
        <f t="shared" si="9"/>
        <v>0.54952054794520544</v>
      </c>
      <c r="V32" s="58">
        <f t="shared" si="10"/>
        <v>118146917.80821916</v>
      </c>
      <c r="W32" s="59"/>
      <c r="X32" s="58"/>
      <c r="Y32" s="60"/>
    </row>
    <row r="33" spans="1:28" s="61" customFormat="1" ht="15.6">
      <c r="A33" s="44" t="s">
        <v>51</v>
      </c>
      <c r="B33" s="45"/>
      <c r="C33" s="46"/>
      <c r="D33" s="66" t="s">
        <v>68</v>
      </c>
      <c r="E33" s="68"/>
      <c r="F33" s="47"/>
      <c r="G33" s="48" t="s">
        <v>56</v>
      </c>
      <c r="H33" s="49"/>
      <c r="I33" s="48"/>
      <c r="J33" s="50">
        <v>1</v>
      </c>
      <c r="K33" s="51"/>
      <c r="L33" s="72">
        <v>420000000</v>
      </c>
      <c r="M33" s="52"/>
      <c r="N33" s="53">
        <v>42274</v>
      </c>
      <c r="O33" s="54" t="s">
        <v>27</v>
      </c>
      <c r="P33" s="55"/>
      <c r="Q33" s="56">
        <f t="shared" si="7"/>
        <v>10.019178082191781</v>
      </c>
      <c r="R33" s="57">
        <v>20</v>
      </c>
      <c r="S33" s="55">
        <f t="shared" si="8"/>
        <v>0.49904109589041101</v>
      </c>
      <c r="T33" s="55">
        <v>0.6</v>
      </c>
      <c r="U33" s="55">
        <f t="shared" si="9"/>
        <v>0.54952054794520544</v>
      </c>
      <c r="V33" s="58">
        <f t="shared" si="10"/>
        <v>230798630.13698629</v>
      </c>
      <c r="W33" s="59"/>
      <c r="X33" s="58"/>
      <c r="Y33" s="60"/>
    </row>
    <row r="34" spans="1:28" s="61" customFormat="1" ht="27.6">
      <c r="A34" s="44" t="s">
        <v>51</v>
      </c>
      <c r="B34" s="45"/>
      <c r="C34" s="46"/>
      <c r="D34" s="66" t="s">
        <v>69</v>
      </c>
      <c r="E34" s="68"/>
      <c r="F34" s="47"/>
      <c r="G34" s="48" t="s">
        <v>56</v>
      </c>
      <c r="H34" s="49"/>
      <c r="I34" s="48"/>
      <c r="J34" s="50">
        <v>1</v>
      </c>
      <c r="K34" s="51"/>
      <c r="L34" s="72">
        <v>1080000000</v>
      </c>
      <c r="M34" s="52"/>
      <c r="N34" s="53">
        <v>42274</v>
      </c>
      <c r="O34" s="54" t="s">
        <v>27</v>
      </c>
      <c r="P34" s="55"/>
      <c r="Q34" s="56">
        <f t="shared" si="7"/>
        <v>10.019178082191781</v>
      </c>
      <c r="R34" s="57">
        <v>20</v>
      </c>
      <c r="S34" s="55">
        <f t="shared" si="8"/>
        <v>0.49904109589041101</v>
      </c>
      <c r="T34" s="55">
        <v>0.6</v>
      </c>
      <c r="U34" s="55">
        <f t="shared" si="9"/>
        <v>0.54952054794520544</v>
      </c>
      <c r="V34" s="58">
        <f t="shared" si="10"/>
        <v>593482191.78082192</v>
      </c>
      <c r="W34" s="59"/>
      <c r="X34" s="58"/>
      <c r="Y34" s="60"/>
    </row>
    <row r="35" spans="1:28" s="61" customFormat="1" ht="15.6">
      <c r="A35" s="44" t="s">
        <v>51</v>
      </c>
      <c r="B35" s="45"/>
      <c r="C35" s="46"/>
      <c r="D35" s="66" t="s">
        <v>70</v>
      </c>
      <c r="E35" s="68"/>
      <c r="F35" s="47"/>
      <c r="G35" s="48" t="s">
        <v>56</v>
      </c>
      <c r="H35" s="49"/>
      <c r="I35" s="48"/>
      <c r="J35" s="50">
        <v>1</v>
      </c>
      <c r="K35" s="51"/>
      <c r="L35" s="72">
        <v>80000000</v>
      </c>
      <c r="M35" s="52"/>
      <c r="N35" s="53">
        <v>42274</v>
      </c>
      <c r="O35" s="54" t="s">
        <v>27</v>
      </c>
      <c r="P35" s="55"/>
      <c r="Q35" s="56">
        <f t="shared" si="7"/>
        <v>10.019178082191781</v>
      </c>
      <c r="R35" s="57">
        <v>20</v>
      </c>
      <c r="S35" s="55">
        <f t="shared" si="8"/>
        <v>0.49904109589041101</v>
      </c>
      <c r="T35" s="55">
        <v>0.6</v>
      </c>
      <c r="U35" s="55">
        <f t="shared" si="9"/>
        <v>0.54952054794520544</v>
      </c>
      <c r="V35" s="58">
        <f t="shared" si="10"/>
        <v>43961643.835616432</v>
      </c>
      <c r="W35" s="59"/>
      <c r="X35" s="58"/>
      <c r="Y35" s="60"/>
    </row>
    <row r="36" spans="1:28" s="61" customFormat="1" ht="15.6">
      <c r="A36" s="44" t="s">
        <v>51</v>
      </c>
      <c r="B36" s="45"/>
      <c r="C36" s="46"/>
      <c r="D36" s="66" t="s">
        <v>71</v>
      </c>
      <c r="E36" s="68"/>
      <c r="F36" s="47"/>
      <c r="G36" s="48" t="s">
        <v>56</v>
      </c>
      <c r="H36" s="49"/>
      <c r="I36" s="48"/>
      <c r="J36" s="50">
        <v>1</v>
      </c>
      <c r="K36" s="51"/>
      <c r="L36" s="72">
        <v>400000000</v>
      </c>
      <c r="M36" s="52"/>
      <c r="N36" s="53">
        <v>42274</v>
      </c>
      <c r="O36" s="54" t="s">
        <v>27</v>
      </c>
      <c r="P36" s="55"/>
      <c r="Q36" s="56">
        <f t="shared" si="7"/>
        <v>10.019178082191781</v>
      </c>
      <c r="R36" s="57">
        <v>20</v>
      </c>
      <c r="S36" s="55">
        <f t="shared" si="8"/>
        <v>0.49904109589041101</v>
      </c>
      <c r="T36" s="55">
        <v>0.6</v>
      </c>
      <c r="U36" s="55">
        <f t="shared" si="9"/>
        <v>0.54952054794520544</v>
      </c>
      <c r="V36" s="58">
        <f t="shared" si="10"/>
        <v>219808219.17808217</v>
      </c>
      <c r="W36" s="59"/>
      <c r="X36" s="58"/>
      <c r="Y36" s="60"/>
    </row>
    <row r="37" spans="1:28" s="61" customFormat="1" ht="15.6">
      <c r="A37" s="44">
        <v>5</v>
      </c>
      <c r="B37" s="45"/>
      <c r="C37" s="46"/>
      <c r="D37" s="235" t="s">
        <v>75</v>
      </c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73"/>
      <c r="W37" s="59"/>
      <c r="X37" s="58"/>
      <c r="Y37" s="60"/>
    </row>
    <row r="38" spans="1:28" s="61" customFormat="1" ht="27.6">
      <c r="A38" s="44" t="s">
        <v>51</v>
      </c>
      <c r="B38" s="45"/>
      <c r="C38" s="46"/>
      <c r="D38" s="66" t="s">
        <v>72</v>
      </c>
      <c r="E38" s="68"/>
      <c r="F38" s="47"/>
      <c r="G38" s="48" t="s">
        <v>25</v>
      </c>
      <c r="H38" s="49"/>
      <c r="I38" s="48"/>
      <c r="J38" s="50">
        <v>1</v>
      </c>
      <c r="K38" s="51"/>
      <c r="L38" s="72">
        <v>1064814815</v>
      </c>
      <c r="M38" s="52"/>
      <c r="N38" s="53">
        <v>44811</v>
      </c>
      <c r="O38" s="54" t="s">
        <v>27</v>
      </c>
      <c r="P38" s="55"/>
      <c r="Q38" s="56">
        <f t="shared" si="7"/>
        <v>3.0684931506849313</v>
      </c>
      <c r="R38" s="57">
        <v>10</v>
      </c>
      <c r="S38" s="55">
        <f t="shared" si="8"/>
        <v>0.69315068493150689</v>
      </c>
      <c r="T38" s="55">
        <v>0.75</v>
      </c>
      <c r="U38" s="55">
        <f t="shared" si="9"/>
        <v>0.72157534246575339</v>
      </c>
      <c r="V38" s="58">
        <f t="shared" si="10"/>
        <v>768344114.79623282</v>
      </c>
      <c r="W38" s="59"/>
      <c r="X38" s="58"/>
      <c r="Y38" s="60"/>
    </row>
    <row r="39" spans="1:28" s="61" customFormat="1" ht="15.6">
      <c r="A39" s="44">
        <v>7</v>
      </c>
      <c r="B39" s="45"/>
      <c r="C39" s="46"/>
      <c r="D39" s="235">
        <v>70</v>
      </c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73"/>
      <c r="W39" s="59"/>
      <c r="X39" s="58"/>
      <c r="Y39" s="60"/>
    </row>
    <row r="40" spans="1:28" s="61" customFormat="1" ht="15.6">
      <c r="A40" s="44" t="s">
        <v>51</v>
      </c>
      <c r="B40" s="45" t="s">
        <v>21</v>
      </c>
      <c r="C40" s="46">
        <v>40486</v>
      </c>
      <c r="D40" s="67" t="s">
        <v>28</v>
      </c>
      <c r="E40" s="68"/>
      <c r="F40" s="47"/>
      <c r="G40" s="48" t="s">
        <v>25</v>
      </c>
      <c r="H40" s="49"/>
      <c r="I40" s="48">
        <v>1</v>
      </c>
      <c r="J40" s="50">
        <v>1</v>
      </c>
      <c r="K40" s="51"/>
      <c r="L40" s="72">
        <v>1203703704</v>
      </c>
      <c r="M40" s="52">
        <v>45660</v>
      </c>
      <c r="N40" s="53">
        <v>44819</v>
      </c>
      <c r="O40" s="54" t="s">
        <v>27</v>
      </c>
      <c r="P40" s="55"/>
      <c r="Q40" s="56">
        <f>(O40-N40)/365</f>
        <v>3.0465753424657533</v>
      </c>
      <c r="R40" s="57">
        <v>10</v>
      </c>
      <c r="S40" s="55">
        <f>IF((1-Q40/R40)&gt;0,1-Q40/R40,0)</f>
        <v>0.69534246575342462</v>
      </c>
      <c r="T40" s="55">
        <v>0.75</v>
      </c>
      <c r="U40" s="55">
        <f>(S40+T40)/2</f>
        <v>0.72267123287671231</v>
      </c>
      <c r="V40" s="58">
        <f>U40*L40</f>
        <v>869882039.78794515</v>
      </c>
      <c r="W40" s="59">
        <v>0.6</v>
      </c>
      <c r="X40" s="58">
        <v>1350000</v>
      </c>
      <c r="Y40" s="60">
        <v>11878423200</v>
      </c>
    </row>
    <row r="41" spans="1:28" ht="15.6" hidden="1">
      <c r="A41" s="11"/>
      <c r="B41" s="12"/>
      <c r="C41" s="13"/>
      <c r="D41" s="236" t="s">
        <v>46</v>
      </c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6"/>
      <c r="X41" s="25" t="e">
        <f>#REF!+X18+X21+X22+X40+#REF!+#REF!+X8</f>
        <v>#REF!</v>
      </c>
      <c r="Y41" s="27"/>
    </row>
    <row r="42" spans="1:28" ht="15.6" hidden="1">
      <c r="A42" s="11"/>
      <c r="B42" s="12"/>
      <c r="C42" s="13"/>
      <c r="D42" s="71" t="s">
        <v>39</v>
      </c>
      <c r="E42" s="65"/>
      <c r="F42" s="14"/>
      <c r="G42" s="15" t="s">
        <v>40</v>
      </c>
      <c r="H42" s="16"/>
      <c r="I42" s="15">
        <v>2</v>
      </c>
      <c r="J42" s="17"/>
      <c r="K42" s="16"/>
      <c r="L42" s="69"/>
      <c r="M42" s="19"/>
      <c r="N42" s="20"/>
      <c r="O42" s="21"/>
      <c r="P42" s="22"/>
      <c r="Q42" s="23"/>
      <c r="R42" s="24"/>
      <c r="S42" s="22"/>
      <c r="T42" s="22"/>
      <c r="U42" s="22"/>
      <c r="V42" s="25" t="s">
        <v>41</v>
      </c>
      <c r="W42" s="26"/>
      <c r="X42" s="25"/>
      <c r="Y42" s="27"/>
    </row>
    <row r="43" spans="1:28" ht="15.6" hidden="1">
      <c r="A43" s="11"/>
      <c r="B43" s="12"/>
      <c r="C43" s="13"/>
      <c r="D43" s="71" t="s">
        <v>42</v>
      </c>
      <c r="E43" s="65"/>
      <c r="F43" s="14"/>
      <c r="G43" s="15" t="s">
        <v>40</v>
      </c>
      <c r="H43" s="16"/>
      <c r="I43" s="15">
        <v>1</v>
      </c>
      <c r="J43" s="17"/>
      <c r="K43" s="16"/>
      <c r="L43" s="69"/>
      <c r="M43" s="19"/>
      <c r="N43" s="20"/>
      <c r="O43" s="21"/>
      <c r="P43" s="22"/>
      <c r="Q43" s="23"/>
      <c r="R43" s="24"/>
      <c r="S43" s="22"/>
      <c r="T43" s="22"/>
      <c r="U43" s="22"/>
      <c r="V43" s="25" t="s">
        <v>43</v>
      </c>
      <c r="W43" s="26"/>
      <c r="X43" s="25"/>
      <c r="Y43" s="27"/>
    </row>
    <row r="44" spans="1:28" ht="15.6" hidden="1">
      <c r="A44" s="11">
        <v>1</v>
      </c>
      <c r="B44" s="12" t="s">
        <v>21</v>
      </c>
      <c r="C44" s="13">
        <v>40486</v>
      </c>
      <c r="D44" s="71" t="s">
        <v>44</v>
      </c>
      <c r="E44" s="65"/>
      <c r="F44" s="14"/>
      <c r="G44" s="15" t="s">
        <v>40</v>
      </c>
      <c r="H44" s="16"/>
      <c r="I44" s="15">
        <v>1</v>
      </c>
      <c r="J44" s="17"/>
      <c r="K44" s="18"/>
      <c r="L44" s="69"/>
      <c r="M44" s="19">
        <v>45660</v>
      </c>
      <c r="N44" s="20"/>
      <c r="O44" s="21"/>
      <c r="P44" s="22"/>
      <c r="Q44" s="23"/>
      <c r="R44" s="24"/>
      <c r="S44" s="22"/>
      <c r="T44" s="22"/>
      <c r="U44" s="22"/>
      <c r="V44" s="25" t="s">
        <v>45</v>
      </c>
      <c r="W44" s="26">
        <v>0.6</v>
      </c>
      <c r="X44" s="25"/>
      <c r="Y44" s="27">
        <v>11878423200</v>
      </c>
    </row>
    <row r="45" spans="1:28" ht="15.6">
      <c r="A45" s="74"/>
      <c r="B45" s="75"/>
      <c r="C45" s="76"/>
      <c r="D45" s="216" t="s">
        <v>22</v>
      </c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78"/>
      <c r="V45" s="28">
        <f>V40+V38+V36+V35+V34+V33+V32+V30+V29+V28+V27+V26+V25+V24+V23+V21+V18+V8+V9+V10+V11+V12+V13+V14</f>
        <v>20875502256.251316</v>
      </c>
      <c r="W45" s="29"/>
      <c r="X45" s="25"/>
      <c r="Y45" s="29" t="e">
        <f>SUM(#REF!)</f>
        <v>#REF!</v>
      </c>
    </row>
    <row r="46" spans="1:28" s="31" customFormat="1" ht="15.6">
      <c r="A46" s="78"/>
      <c r="B46" s="30"/>
      <c r="C46" s="30"/>
      <c r="D46" s="216" t="s">
        <v>23</v>
      </c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78"/>
      <c r="V46" s="28">
        <f>ROUND(V45,-6)</f>
        <v>20876000000</v>
      </c>
      <c r="W46" s="29"/>
      <c r="X46" s="43">
        <v>30420000</v>
      </c>
      <c r="Y46" s="29"/>
      <c r="AB46" s="32"/>
    </row>
    <row r="47" spans="1:28">
      <c r="T47" s="6" t="e">
        <f>(#REF!+#REF!)/2</f>
        <v>#REF!</v>
      </c>
    </row>
    <row r="48" spans="1:28">
      <c r="Q48" s="5" t="e">
        <f>#REF!*12</f>
        <v>#REF!</v>
      </c>
      <c r="S48" s="6">
        <v>0.83</v>
      </c>
      <c r="V48" s="38">
        <f>V8+V9+V10+V11+V12+V13+V14</f>
        <v>14662920961.620558</v>
      </c>
    </row>
    <row r="49" spans="6:25">
      <c r="L49" s="6">
        <f>1/13</f>
        <v>7.6923076923076927E-2</v>
      </c>
      <c r="N49" s="5">
        <f>29.3*0.92</f>
        <v>26.956000000000003</v>
      </c>
      <c r="S49" s="6">
        <f>1500000000*98%</f>
        <v>1470000000</v>
      </c>
      <c r="V49" s="35">
        <v>2000000000</v>
      </c>
      <c r="W49" s="36"/>
      <c r="X49" s="36"/>
      <c r="Y49" s="36"/>
    </row>
    <row r="50" spans="6:25">
      <c r="F50" s="34" t="e">
        <f>V46-#REF!</f>
        <v>#REF!</v>
      </c>
      <c r="G50" s="5">
        <v>0.97499999999999998</v>
      </c>
      <c r="I50" s="5" t="e">
        <f>#REF!*G50</f>
        <v>#REF!</v>
      </c>
      <c r="V50" s="40">
        <f>V49/V48</f>
        <v>0.1363984710300831</v>
      </c>
    </row>
    <row r="51" spans="6:25">
      <c r="F51" s="34" t="e">
        <f>F50-#REF!-#REF!</f>
        <v>#REF!</v>
      </c>
      <c r="L51" s="35">
        <v>0.98</v>
      </c>
      <c r="M51" s="35"/>
      <c r="Q51" s="5" t="e">
        <f>(15-#REF!)/15</f>
        <v>#REF!</v>
      </c>
      <c r="S51" s="6" t="e">
        <f>(#REF!+#REF!)/2</f>
        <v>#REF!</v>
      </c>
      <c r="U51" s="6">
        <f>S9*V50</f>
        <v>8.1555074842754344E-2</v>
      </c>
      <c r="V51" s="38"/>
      <c r="W51" s="39"/>
      <c r="X51" s="39"/>
      <c r="Y51" s="39"/>
    </row>
    <row r="52" spans="6:25">
      <c r="L52" s="5" t="e">
        <f>#REF!*L51</f>
        <v>#REF!</v>
      </c>
      <c r="R52" s="5">
        <f>100/15*2</f>
        <v>13.333333333333334</v>
      </c>
      <c r="V52" s="6">
        <f>3.5/67.5</f>
        <v>5.185185185185185E-2</v>
      </c>
    </row>
    <row r="53" spans="6:25">
      <c r="I53" s="5" t="e">
        <f>1463000000/#REF!</f>
        <v>#REF!</v>
      </c>
    </row>
    <row r="55" spans="6:25">
      <c r="O55" s="40">
        <f>1/15</f>
        <v>6.6666666666666666E-2</v>
      </c>
    </row>
    <row r="59" spans="6:25">
      <c r="V59" s="5" t="s">
        <v>48</v>
      </c>
    </row>
  </sheetData>
  <mergeCells count="36">
    <mergeCell ref="M4:M5"/>
    <mergeCell ref="A1:V1"/>
    <mergeCell ref="A2:V2"/>
    <mergeCell ref="A3:E3"/>
    <mergeCell ref="T3:V3"/>
    <mergeCell ref="A4:A5"/>
    <mergeCell ref="B4:C5"/>
    <mergeCell ref="D4:D5"/>
    <mergeCell ref="E4:E5"/>
    <mergeCell ref="F4:F5"/>
    <mergeCell ref="G4:G5"/>
    <mergeCell ref="X4:X5"/>
    <mergeCell ref="D6:G6"/>
    <mergeCell ref="D7:U7"/>
    <mergeCell ref="X8:X14"/>
    <mergeCell ref="D17:U17"/>
    <mergeCell ref="N4:N5"/>
    <mergeCell ref="O4:O5"/>
    <mergeCell ref="Q4:S4"/>
    <mergeCell ref="T4:T5"/>
    <mergeCell ref="U4:U5"/>
    <mergeCell ref="V4:V5"/>
    <mergeCell ref="H4:H5"/>
    <mergeCell ref="I4:I5"/>
    <mergeCell ref="J4:J5"/>
    <mergeCell ref="K4:K5"/>
    <mergeCell ref="L4:L5"/>
    <mergeCell ref="D46:T46"/>
    <mergeCell ref="A15:D15"/>
    <mergeCell ref="D22:U22"/>
    <mergeCell ref="D31:U31"/>
    <mergeCell ref="D37:U37"/>
    <mergeCell ref="D39:U39"/>
    <mergeCell ref="D41:V41"/>
    <mergeCell ref="D45:T45"/>
    <mergeCell ref="D19:U19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3"/>
  <sheetViews>
    <sheetView topLeftCell="A33" zoomScale="80" zoomScaleNormal="80" workbookViewId="0">
      <selection activeCell="Y15" sqref="Y15"/>
    </sheetView>
  </sheetViews>
  <sheetFormatPr defaultRowHeight="14.4"/>
  <cols>
    <col min="1" max="1" width="8.44140625" style="33" customWidth="1"/>
    <col min="2" max="2" width="15.5546875" hidden="1" customWidth="1"/>
    <col min="3" max="3" width="18.5546875" hidden="1" customWidth="1"/>
    <col min="4" max="4" width="48" style="61" customWidth="1"/>
    <col min="5" max="5" width="36.6640625" hidden="1" customWidth="1"/>
    <col min="6" max="6" width="16.88671875" style="34" hidden="1" customWidth="1"/>
    <col min="7" max="7" width="9.33203125" style="5" customWidth="1"/>
    <col min="8" max="8" width="18.88671875" style="5" customWidth="1"/>
    <col min="9" max="9" width="13.44140625" style="5" customWidth="1"/>
    <col min="10" max="10" width="12.6640625" style="5" customWidth="1"/>
    <col min="11" max="11" width="8.21875" style="5" customWidth="1"/>
    <col min="12" max="12" width="11" style="5" customWidth="1"/>
    <col min="13" max="13" width="29.44140625" style="5" customWidth="1"/>
    <col min="14" max="14" width="12.109375" style="5" customWidth="1"/>
    <col min="15" max="16" width="11.88671875" style="5" customWidth="1"/>
    <col min="17" max="17" width="11.77734375" style="6" customWidth="1"/>
    <col min="18" max="18" width="13.33203125" style="5" customWidth="1"/>
    <col min="19" max="19" width="16.88671875" style="5" customWidth="1"/>
    <col min="20" max="20" width="9.6640625" style="6" customWidth="1"/>
    <col min="21" max="21" width="10.6640625" style="6" customWidth="1"/>
    <col min="22" max="22" width="16.33203125" style="6" customWidth="1"/>
    <col min="23" max="23" width="11.77734375" style="6" customWidth="1"/>
    <col min="24" max="24" width="19" style="5" customWidth="1"/>
    <col min="25" max="25" width="18.109375" style="5" customWidth="1"/>
    <col min="26" max="26" width="16.88671875" style="37" hidden="1" customWidth="1"/>
    <col min="27" max="27" width="22.44140625" style="37" hidden="1" customWidth="1"/>
    <col min="28" max="28" width="24.5546875" style="37" hidden="1" customWidth="1"/>
    <col min="29" max="29" width="17.33203125" hidden="1" customWidth="1"/>
    <col min="30" max="30" width="24.5546875" hidden="1" customWidth="1"/>
    <col min="31" max="31" width="15.109375" bestFit="1" customWidth="1"/>
  </cols>
  <sheetData>
    <row r="1" spans="1:45" ht="15.6">
      <c r="A1" s="222" t="s">
        <v>26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151"/>
      <c r="Z1" s="1"/>
      <c r="AA1" s="1"/>
      <c r="AB1" s="1"/>
    </row>
    <row r="2" spans="1:45" ht="16.2">
      <c r="A2" s="223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152"/>
      <c r="Z2" s="2"/>
      <c r="AA2" s="152"/>
      <c r="AB2" s="152"/>
    </row>
    <row r="3" spans="1:45" ht="15.6">
      <c r="A3" s="224"/>
      <c r="B3" s="224"/>
      <c r="C3" s="224"/>
      <c r="D3" s="224"/>
      <c r="E3" s="224"/>
      <c r="F3" s="3"/>
      <c r="G3" s="4"/>
      <c r="H3" s="4"/>
      <c r="I3" s="4"/>
      <c r="J3" s="4"/>
      <c r="K3" s="4"/>
      <c r="L3" s="4"/>
      <c r="U3" s="225"/>
      <c r="V3" s="225"/>
      <c r="W3" s="225"/>
      <c r="X3" s="226"/>
      <c r="Y3" s="153"/>
      <c r="Z3" s="7"/>
      <c r="AA3" s="83"/>
      <c r="AB3" s="83"/>
    </row>
    <row r="4" spans="1:45" ht="42.75" customHeight="1">
      <c r="A4" s="227" t="s">
        <v>2</v>
      </c>
      <c r="B4" s="227" t="s">
        <v>3</v>
      </c>
      <c r="C4" s="227"/>
      <c r="D4" s="227" t="s">
        <v>49</v>
      </c>
      <c r="E4" s="228"/>
      <c r="F4" s="229"/>
      <c r="G4" s="218" t="s">
        <v>5</v>
      </c>
      <c r="H4" s="218" t="s">
        <v>90</v>
      </c>
      <c r="I4" s="218" t="s">
        <v>24</v>
      </c>
      <c r="J4" s="218" t="s">
        <v>150</v>
      </c>
      <c r="K4" s="218" t="s">
        <v>8</v>
      </c>
      <c r="L4" s="155"/>
      <c r="M4" s="219" t="s">
        <v>73</v>
      </c>
      <c r="N4" s="217" t="s">
        <v>9</v>
      </c>
      <c r="O4" s="217" t="s">
        <v>10</v>
      </c>
      <c r="P4" s="158" t="s">
        <v>11</v>
      </c>
      <c r="Q4" s="158" t="s">
        <v>11</v>
      </c>
      <c r="R4" s="217" t="s">
        <v>12</v>
      </c>
      <c r="S4" s="217"/>
      <c r="T4" s="217"/>
      <c r="U4" s="217"/>
      <c r="V4" s="217"/>
      <c r="W4" s="230" t="s">
        <v>149</v>
      </c>
      <c r="X4" s="219" t="s">
        <v>155</v>
      </c>
      <c r="Y4" s="220" t="s">
        <v>134</v>
      </c>
      <c r="Z4" s="221"/>
      <c r="AA4" s="221"/>
      <c r="AB4" s="221"/>
      <c r="AC4" s="221"/>
      <c r="AD4" s="221"/>
      <c r="AE4" s="221"/>
    </row>
    <row r="5" spans="1:45" ht="28.2" customHeight="1" thickBot="1">
      <c r="A5" s="227"/>
      <c r="B5" s="227"/>
      <c r="C5" s="227"/>
      <c r="D5" s="227"/>
      <c r="E5" s="228"/>
      <c r="F5" s="229"/>
      <c r="G5" s="218"/>
      <c r="H5" s="218"/>
      <c r="I5" s="218"/>
      <c r="J5" s="218"/>
      <c r="K5" s="218"/>
      <c r="L5" s="155"/>
      <c r="M5" s="219"/>
      <c r="N5" s="217"/>
      <c r="O5" s="217"/>
      <c r="P5" s="157">
        <v>2025</v>
      </c>
      <c r="Q5" s="158">
        <v>20.260000000000002</v>
      </c>
      <c r="R5" s="106" t="s">
        <v>16</v>
      </c>
      <c r="S5" s="106" t="s">
        <v>17</v>
      </c>
      <c r="T5" s="107" t="s">
        <v>82</v>
      </c>
      <c r="U5" s="107" t="s">
        <v>78</v>
      </c>
      <c r="V5" s="108" t="s">
        <v>77</v>
      </c>
      <c r="W5" s="231"/>
      <c r="X5" s="219"/>
      <c r="Y5" s="220"/>
      <c r="Z5" s="221"/>
      <c r="AA5" s="221"/>
      <c r="AB5" s="221"/>
      <c r="AC5" s="221"/>
      <c r="AD5" s="221"/>
      <c r="AE5" s="221"/>
      <c r="AS5">
        <f>5000000/52.9</f>
        <v>94517.958412098305</v>
      </c>
    </row>
    <row r="6" spans="1:45" ht="27" hidden="1" customHeight="1">
      <c r="A6" s="154" t="s">
        <v>20</v>
      </c>
      <c r="B6" s="154"/>
      <c r="C6" s="154"/>
      <c r="D6" s="91" t="s">
        <v>79</v>
      </c>
      <c r="E6" s="127"/>
      <c r="F6" s="91"/>
      <c r="G6" s="91"/>
      <c r="H6" s="92"/>
      <c r="I6" s="93"/>
      <c r="J6" s="94"/>
      <c r="K6" s="94"/>
      <c r="L6" s="94"/>
      <c r="M6" s="95"/>
      <c r="N6" s="96"/>
      <c r="O6" s="97"/>
      <c r="P6" s="97"/>
      <c r="Q6" s="98"/>
      <c r="R6" s="99"/>
      <c r="S6" s="100"/>
      <c r="T6" s="98"/>
      <c r="U6" s="98"/>
      <c r="V6" s="98"/>
      <c r="W6" s="98"/>
      <c r="X6" s="95">
        <v>38578320000</v>
      </c>
      <c r="Y6" s="105"/>
      <c r="Z6" s="8"/>
      <c r="AA6" s="85"/>
      <c r="AB6" s="85"/>
      <c r="AD6" s="9"/>
      <c r="AE6" s="10"/>
    </row>
    <row r="7" spans="1:45" ht="27" hidden="1" customHeight="1">
      <c r="A7" s="154"/>
      <c r="B7" s="154"/>
      <c r="C7" s="154"/>
      <c r="D7" s="91"/>
      <c r="E7" s="127"/>
      <c r="F7" s="91"/>
      <c r="G7" s="91"/>
      <c r="H7" s="92"/>
      <c r="I7" s="93"/>
      <c r="J7" s="94"/>
      <c r="K7" s="94"/>
      <c r="L7" s="94"/>
      <c r="M7" s="95"/>
      <c r="N7" s="96"/>
      <c r="O7" s="97"/>
      <c r="P7" s="97"/>
      <c r="Q7" s="98"/>
      <c r="R7" s="99"/>
      <c r="S7" s="100"/>
      <c r="T7" s="98"/>
      <c r="U7" s="98"/>
      <c r="V7" s="98"/>
      <c r="W7" s="98"/>
      <c r="X7" s="109"/>
      <c r="Y7" s="105"/>
      <c r="Z7" s="8"/>
      <c r="AA7" s="85"/>
      <c r="AB7" s="85"/>
      <c r="AD7" s="9"/>
      <c r="AE7" s="10"/>
    </row>
    <row r="8" spans="1:45" ht="27" hidden="1" customHeight="1">
      <c r="A8" s="154" t="s">
        <v>50</v>
      </c>
      <c r="B8" s="154"/>
      <c r="C8" s="154"/>
      <c r="D8" s="91" t="s">
        <v>92</v>
      </c>
      <c r="E8" s="127"/>
      <c r="F8" s="91"/>
      <c r="G8" s="91"/>
      <c r="H8" s="92"/>
      <c r="I8" s="93"/>
      <c r="J8" s="94"/>
      <c r="K8" s="94"/>
      <c r="L8" s="94"/>
      <c r="M8" s="95"/>
      <c r="N8" s="96"/>
      <c r="O8" s="97"/>
      <c r="P8" s="97"/>
      <c r="Q8" s="98"/>
      <c r="R8" s="99"/>
      <c r="S8" s="100"/>
      <c r="T8" s="98"/>
      <c r="U8" s="98"/>
      <c r="V8" s="98"/>
      <c r="W8" s="98"/>
      <c r="X8" s="109"/>
      <c r="Y8" s="105"/>
      <c r="Z8" s="8"/>
      <c r="AA8" s="85"/>
      <c r="AB8" s="85"/>
      <c r="AD8" s="9"/>
      <c r="AE8" s="10"/>
    </row>
    <row r="9" spans="1:45" s="132" customFormat="1" ht="27" customHeight="1" thickBot="1">
      <c r="A9" s="133">
        <v>1</v>
      </c>
      <c r="B9" s="134" t="s">
        <v>21</v>
      </c>
      <c r="C9" s="135">
        <v>40486</v>
      </c>
      <c r="D9" s="205" t="s">
        <v>93</v>
      </c>
      <c r="E9" s="123" t="s">
        <v>80</v>
      </c>
      <c r="F9" s="47"/>
      <c r="G9" s="48" t="s">
        <v>37</v>
      </c>
      <c r="H9" s="49">
        <v>6452000</v>
      </c>
      <c r="I9" s="198">
        <v>129.9</v>
      </c>
      <c r="J9" s="128">
        <v>1.1000000000000001</v>
      </c>
      <c r="K9" s="125">
        <v>0.93500000000000005</v>
      </c>
      <c r="L9" s="136">
        <f>H9*K9/J9</f>
        <v>5484200</v>
      </c>
      <c r="M9" s="90">
        <f>K9*H9*I9/J9</f>
        <v>712397580</v>
      </c>
      <c r="N9" s="53">
        <v>46028</v>
      </c>
      <c r="O9" s="53" t="s">
        <v>154</v>
      </c>
      <c r="P9" s="161">
        <v>0.83</v>
      </c>
      <c r="Q9" s="137">
        <v>0.7</v>
      </c>
      <c r="R9" s="138">
        <f t="shared" ref="R9:R17" si="0">(O9-N9)/365</f>
        <v>27.334246575342465</v>
      </c>
      <c r="S9" s="201">
        <v>40</v>
      </c>
      <c r="T9" s="137">
        <f>IF((1-R9/S9)&gt;0,1-R9/S9,0)</f>
        <v>0.31664383561643838</v>
      </c>
      <c r="U9" s="137">
        <f>1-T9</f>
        <v>0.68335616438356162</v>
      </c>
      <c r="V9" s="139">
        <f>U9*M9</f>
        <v>486821277.78493148</v>
      </c>
      <c r="W9" s="137">
        <f>(Q9+T9)/2</f>
        <v>0.50832191780821923</v>
      </c>
      <c r="X9" s="140">
        <f>W9*M9</f>
        <v>362127304.10753429</v>
      </c>
      <c r="Y9" s="161">
        <v>0.78</v>
      </c>
      <c r="Z9" s="130">
        <v>0.6</v>
      </c>
      <c r="AA9" s="129">
        <v>4410000</v>
      </c>
      <c r="AB9" s="129">
        <v>11878423200</v>
      </c>
      <c r="AC9" s="131"/>
      <c r="AD9" s="131"/>
      <c r="AE9" s="163">
        <v>506441115</v>
      </c>
    </row>
    <row r="10" spans="1:45" s="132" customFormat="1" ht="27" customHeight="1" thickBot="1">
      <c r="A10" s="133">
        <v>2</v>
      </c>
      <c r="B10" s="134" t="s">
        <v>21</v>
      </c>
      <c r="C10" s="135">
        <v>40486</v>
      </c>
      <c r="D10" s="206" t="s">
        <v>94</v>
      </c>
      <c r="E10" s="149" t="s">
        <v>81</v>
      </c>
      <c r="F10" s="47"/>
      <c r="G10" s="48" t="s">
        <v>37</v>
      </c>
      <c r="H10" s="49">
        <v>6247000</v>
      </c>
      <c r="I10" s="199">
        <v>48</v>
      </c>
      <c r="J10" s="128">
        <v>1.1000000000000001</v>
      </c>
      <c r="K10" s="125">
        <v>0.93500000000000005</v>
      </c>
      <c r="L10" s="136">
        <f t="shared" ref="L10:L50" si="1">H10*K10/J10</f>
        <v>5309950</v>
      </c>
      <c r="M10" s="90">
        <f t="shared" ref="M10:M42" si="2">K10*H10*I10/J10</f>
        <v>254877599.99999997</v>
      </c>
      <c r="N10" s="53">
        <v>37987</v>
      </c>
      <c r="O10" s="53" t="s">
        <v>151</v>
      </c>
      <c r="P10" s="162">
        <v>0.83</v>
      </c>
      <c r="Q10" s="137">
        <v>0.7</v>
      </c>
      <c r="R10" s="138">
        <f t="shared" si="0"/>
        <v>22.43013698630137</v>
      </c>
      <c r="S10" s="201">
        <v>40</v>
      </c>
      <c r="T10" s="137">
        <f>IF((1-R10/S10)&gt;0,1-R10/S10,0)</f>
        <v>0.43924657534246569</v>
      </c>
      <c r="U10" s="137">
        <f>1-T10</f>
        <v>0.56075342465753431</v>
      </c>
      <c r="V10" s="139">
        <f>U10*M10</f>
        <v>142923487.06849316</v>
      </c>
      <c r="W10" s="137">
        <f t="shared" ref="W10:W49" si="3">(Q10+T10)/2</f>
        <v>0.56962328767123283</v>
      </c>
      <c r="X10" s="140">
        <f t="shared" ref="X10:X50" si="4">W10*M10</f>
        <v>145184216.46575341</v>
      </c>
      <c r="Y10" s="162">
        <v>0.65</v>
      </c>
      <c r="Z10" s="130">
        <v>0.6</v>
      </c>
      <c r="AA10" s="129">
        <v>4410000</v>
      </c>
      <c r="AB10" s="129">
        <v>11878423200</v>
      </c>
      <c r="AC10" s="131"/>
      <c r="AD10" s="131"/>
      <c r="AE10" s="164">
        <v>151809293</v>
      </c>
    </row>
    <row r="11" spans="1:45" s="132" customFormat="1" ht="27" customHeight="1" thickBot="1">
      <c r="A11" s="133">
        <v>3</v>
      </c>
      <c r="B11" s="134"/>
      <c r="C11" s="135"/>
      <c r="D11" s="206" t="s">
        <v>95</v>
      </c>
      <c r="E11" s="149"/>
      <c r="F11" s="47"/>
      <c r="G11" s="48" t="s">
        <v>37</v>
      </c>
      <c r="H11" s="49">
        <v>8370000</v>
      </c>
      <c r="I11" s="199">
        <v>226.94</v>
      </c>
      <c r="J11" s="128">
        <v>1.1000000000000001</v>
      </c>
      <c r="K11" s="125">
        <v>0.93500000000000005</v>
      </c>
      <c r="L11" s="136">
        <f t="shared" si="1"/>
        <v>7114499.9999999991</v>
      </c>
      <c r="M11" s="90">
        <f t="shared" si="2"/>
        <v>1614564629.9999998</v>
      </c>
      <c r="N11" s="53">
        <v>37622</v>
      </c>
      <c r="O11" s="53" t="s">
        <v>151</v>
      </c>
      <c r="P11" s="162">
        <v>0.83</v>
      </c>
      <c r="Q11" s="137">
        <v>0.8</v>
      </c>
      <c r="R11" s="138">
        <f t="shared" si="0"/>
        <v>23.43013698630137</v>
      </c>
      <c r="S11" s="201">
        <v>50</v>
      </c>
      <c r="T11" s="137">
        <f>IF((1-R11/S11)&gt;0,1-R11/S11,0)</f>
        <v>0.5313972602739726</v>
      </c>
      <c r="U11" s="137">
        <f>1-T11</f>
        <v>0.4686027397260274</v>
      </c>
      <c r="V11" s="139">
        <f>U11*M11</f>
        <v>756589409.08273959</v>
      </c>
      <c r="W11" s="137">
        <f t="shared" si="3"/>
        <v>0.66569863013698627</v>
      </c>
      <c r="X11" s="140">
        <f t="shared" si="4"/>
        <v>1074813462.4586298</v>
      </c>
      <c r="Y11" s="162">
        <v>0.7</v>
      </c>
      <c r="Z11" s="130"/>
      <c r="AA11" s="129"/>
      <c r="AB11" s="129"/>
      <c r="AC11" s="131"/>
      <c r="AD11" s="131"/>
      <c r="AE11" s="164">
        <v>1212951323</v>
      </c>
    </row>
    <row r="12" spans="1:45" s="132" customFormat="1" ht="27" customHeight="1" thickBot="1">
      <c r="A12" s="133">
        <v>4</v>
      </c>
      <c r="B12" s="134"/>
      <c r="C12" s="135"/>
      <c r="D12" s="206" t="s">
        <v>96</v>
      </c>
      <c r="E12" s="141"/>
      <c r="F12" s="47"/>
      <c r="G12" s="48" t="s">
        <v>37</v>
      </c>
      <c r="H12" s="49">
        <v>8370000</v>
      </c>
      <c r="I12" s="199">
        <v>217.92</v>
      </c>
      <c r="J12" s="128">
        <v>1.1000000000000001</v>
      </c>
      <c r="K12" s="125">
        <v>0.93500000000000005</v>
      </c>
      <c r="L12" s="136">
        <f t="shared" si="1"/>
        <v>7114499.9999999991</v>
      </c>
      <c r="M12" s="90">
        <f t="shared" si="2"/>
        <v>1550391839.9999998</v>
      </c>
      <c r="N12" s="53">
        <v>37622</v>
      </c>
      <c r="O12" s="53" t="s">
        <v>151</v>
      </c>
      <c r="P12" s="162">
        <v>0.83</v>
      </c>
      <c r="Q12" s="137">
        <v>0.8</v>
      </c>
      <c r="R12" s="138">
        <f>(O12-N12)/365</f>
        <v>23.43013698630137</v>
      </c>
      <c r="S12" s="201">
        <v>50</v>
      </c>
      <c r="T12" s="137">
        <f>IF((1-R12/S12)&gt;0,1-R12/S12,0)</f>
        <v>0.5313972602739726</v>
      </c>
      <c r="U12" s="137">
        <f>1-T12</f>
        <v>0.4686027397260274</v>
      </c>
      <c r="V12" s="139">
        <f>U12*M12</f>
        <v>726517863.87287664</v>
      </c>
      <c r="W12" s="137">
        <f t="shared" si="3"/>
        <v>0.66569863013698627</v>
      </c>
      <c r="X12" s="140">
        <f t="shared" si="4"/>
        <v>1032093724.0635614</v>
      </c>
      <c r="Y12" s="162">
        <v>0.7</v>
      </c>
      <c r="Z12" s="130"/>
      <c r="AA12" s="129"/>
      <c r="AB12" s="129"/>
      <c r="AC12" s="131"/>
      <c r="AD12" s="131"/>
      <c r="AE12" s="164">
        <v>1164741131</v>
      </c>
    </row>
    <row r="13" spans="1:45" s="132" customFormat="1" ht="27" customHeight="1" thickBot="1">
      <c r="A13" s="133">
        <v>5</v>
      </c>
      <c r="B13" s="134"/>
      <c r="C13" s="135"/>
      <c r="D13" s="206" t="s">
        <v>97</v>
      </c>
      <c r="E13" s="149"/>
      <c r="F13" s="47"/>
      <c r="G13" s="48" t="s">
        <v>37</v>
      </c>
      <c r="H13" s="49">
        <v>6452000</v>
      </c>
      <c r="I13" s="199">
        <v>161</v>
      </c>
      <c r="J13" s="128">
        <v>1.1000000000000001</v>
      </c>
      <c r="K13" s="125">
        <v>0.93500000000000005</v>
      </c>
      <c r="L13" s="136">
        <f t="shared" si="1"/>
        <v>5484200</v>
      </c>
      <c r="M13" s="90">
        <f t="shared" si="2"/>
        <v>882956199.99999988</v>
      </c>
      <c r="N13" s="53">
        <v>37987</v>
      </c>
      <c r="O13" s="53" t="s">
        <v>151</v>
      </c>
      <c r="P13" s="162">
        <v>0.52</v>
      </c>
      <c r="Q13" s="137">
        <v>0.48</v>
      </c>
      <c r="R13" s="138">
        <f t="shared" si="0"/>
        <v>22.43013698630137</v>
      </c>
      <c r="S13" s="201">
        <v>25</v>
      </c>
      <c r="T13" s="137">
        <f>IF((1-R13/S13)&gt;0,1-R13/S13,0)</f>
        <v>0.10279452054794513</v>
      </c>
      <c r="U13" s="137">
        <f>1-T13</f>
        <v>0.89720547945205487</v>
      </c>
      <c r="V13" s="139">
        <f>U13*M13</f>
        <v>792193140.75616431</v>
      </c>
      <c r="W13" s="137">
        <f t="shared" si="3"/>
        <v>0.29139726027397256</v>
      </c>
      <c r="X13" s="140">
        <f t="shared" si="4"/>
        <v>257291017.62191772</v>
      </c>
      <c r="Y13" s="162">
        <v>0.34</v>
      </c>
      <c r="Z13" s="130"/>
      <c r="AA13" s="129"/>
      <c r="AB13" s="129"/>
      <c r="AC13" s="131"/>
      <c r="AD13" s="131"/>
      <c r="AE13" s="164">
        <v>274488530</v>
      </c>
    </row>
    <row r="14" spans="1:45" s="132" customFormat="1" ht="27" customHeight="1" thickBot="1">
      <c r="A14" s="133">
        <v>6</v>
      </c>
      <c r="B14" s="134"/>
      <c r="C14" s="135"/>
      <c r="D14" s="206" t="s">
        <v>98</v>
      </c>
      <c r="E14" s="149"/>
      <c r="F14" s="47"/>
      <c r="G14" s="48" t="s">
        <v>37</v>
      </c>
      <c r="H14" s="49">
        <v>6452000</v>
      </c>
      <c r="I14" s="199">
        <v>128.27000000000001</v>
      </c>
      <c r="J14" s="128">
        <v>1.1000000000000001</v>
      </c>
      <c r="K14" s="125">
        <v>0.93500000000000005</v>
      </c>
      <c r="L14" s="136">
        <f t="shared" si="1"/>
        <v>5484200</v>
      </c>
      <c r="M14" s="90">
        <f t="shared" si="2"/>
        <v>703458334</v>
      </c>
      <c r="N14" s="53">
        <v>39448</v>
      </c>
      <c r="O14" s="53" t="s">
        <v>151</v>
      </c>
      <c r="P14" s="162">
        <v>0.52</v>
      </c>
      <c r="Q14" s="137">
        <v>0.48</v>
      </c>
      <c r="R14" s="138">
        <f t="shared" si="0"/>
        <v>18.427397260273974</v>
      </c>
      <c r="S14" s="201">
        <v>25</v>
      </c>
      <c r="T14" s="137">
        <f t="shared" ref="T14:T19" si="5">IF((1-R14/S14)&gt;0,1-R14/S14,0)</f>
        <v>0.26290410958904109</v>
      </c>
      <c r="U14" s="137">
        <f t="shared" ref="U14:U19" si="6">1-T14</f>
        <v>0.73709589041095891</v>
      </c>
      <c r="V14" s="139">
        <f t="shared" ref="V14:V19" si="7">U14*M14</f>
        <v>518516247.06673974</v>
      </c>
      <c r="W14" s="137">
        <f t="shared" si="3"/>
        <v>0.37145205479452054</v>
      </c>
      <c r="X14" s="140">
        <f t="shared" si="4"/>
        <v>261301043.62663013</v>
      </c>
      <c r="Y14" s="162">
        <v>0.42</v>
      </c>
      <c r="Z14" s="130"/>
      <c r="AA14" s="129"/>
      <c r="AB14" s="129"/>
      <c r="AC14" s="131"/>
      <c r="AD14" s="131"/>
      <c r="AE14" s="164">
        <v>270143046</v>
      </c>
    </row>
    <row r="15" spans="1:45" s="132" customFormat="1" ht="27" customHeight="1" thickBot="1">
      <c r="A15" s="133">
        <v>7</v>
      </c>
      <c r="B15" s="134"/>
      <c r="C15" s="135"/>
      <c r="D15" s="206" t="s">
        <v>99</v>
      </c>
      <c r="E15" s="149"/>
      <c r="F15" s="47"/>
      <c r="G15" s="48" t="s">
        <v>37</v>
      </c>
      <c r="H15" s="49">
        <v>6452000</v>
      </c>
      <c r="I15" s="199">
        <v>227.81</v>
      </c>
      <c r="J15" s="128">
        <v>1.1000000000000001</v>
      </c>
      <c r="K15" s="125">
        <v>0.93500000000000005</v>
      </c>
      <c r="L15" s="136">
        <f t="shared" si="1"/>
        <v>5484200</v>
      </c>
      <c r="M15" s="90">
        <f t="shared" si="2"/>
        <v>1249355602</v>
      </c>
      <c r="N15" s="53">
        <v>39448</v>
      </c>
      <c r="O15" s="53" t="s">
        <v>151</v>
      </c>
      <c r="P15" s="162">
        <v>0.52</v>
      </c>
      <c r="Q15" s="137">
        <v>0.48</v>
      </c>
      <c r="R15" s="138">
        <f t="shared" si="0"/>
        <v>18.427397260273974</v>
      </c>
      <c r="S15" s="201">
        <v>25</v>
      </c>
      <c r="T15" s="137">
        <f t="shared" si="5"/>
        <v>0.26290410958904109</v>
      </c>
      <c r="U15" s="137">
        <f t="shared" si="6"/>
        <v>0.73709589041095891</v>
      </c>
      <c r="V15" s="139">
        <f t="shared" si="7"/>
        <v>920894879.89610958</v>
      </c>
      <c r="W15" s="137">
        <f t="shared" si="3"/>
        <v>0.37145205479452054</v>
      </c>
      <c r="X15" s="140">
        <f t="shared" si="4"/>
        <v>464075705.53194517</v>
      </c>
      <c r="Y15" s="162">
        <v>0.42</v>
      </c>
      <c r="Z15" s="130"/>
      <c r="AA15" s="129"/>
      <c r="AB15" s="129"/>
      <c r="AC15" s="131"/>
      <c r="AD15" s="131"/>
      <c r="AE15" s="164">
        <v>479779273</v>
      </c>
    </row>
    <row r="16" spans="1:45" s="61" customFormat="1" ht="30" customHeight="1" thickBot="1">
      <c r="A16" s="133">
        <v>8</v>
      </c>
      <c r="B16" s="134"/>
      <c r="C16" s="135"/>
      <c r="D16" s="205" t="s">
        <v>100</v>
      </c>
      <c r="E16" s="149"/>
      <c r="F16" s="47"/>
      <c r="G16" s="48" t="s">
        <v>37</v>
      </c>
      <c r="H16" s="49">
        <v>6452000</v>
      </c>
      <c r="I16" s="199">
        <v>350</v>
      </c>
      <c r="J16" s="128">
        <v>1.1000000000000001</v>
      </c>
      <c r="K16" s="125">
        <v>0.93500000000000005</v>
      </c>
      <c r="L16" s="136">
        <f t="shared" si="1"/>
        <v>5484200</v>
      </c>
      <c r="M16" s="90">
        <f t="shared" si="2"/>
        <v>1919469999.9999998</v>
      </c>
      <c r="N16" s="53">
        <v>38353</v>
      </c>
      <c r="O16" s="53" t="s">
        <v>151</v>
      </c>
      <c r="P16" s="162">
        <v>0.56999999999999995</v>
      </c>
      <c r="Q16" s="137">
        <v>0.55000000000000004</v>
      </c>
      <c r="R16" s="138">
        <f t="shared" si="0"/>
        <v>21.427397260273974</v>
      </c>
      <c r="S16" s="201">
        <v>25</v>
      </c>
      <c r="T16" s="137">
        <f t="shared" si="5"/>
        <v>0.1429041095890411</v>
      </c>
      <c r="U16" s="137">
        <f t="shared" si="6"/>
        <v>0.8570958904109589</v>
      </c>
      <c r="V16" s="139">
        <f t="shared" si="7"/>
        <v>1645169848.767123</v>
      </c>
      <c r="W16" s="137">
        <f t="shared" si="3"/>
        <v>0.34645205479452057</v>
      </c>
      <c r="X16" s="140">
        <f t="shared" si="4"/>
        <v>665004325.61643827</v>
      </c>
      <c r="Y16" s="162">
        <v>0.39</v>
      </c>
      <c r="Z16" s="59"/>
      <c r="AA16" s="58"/>
      <c r="AB16" s="58"/>
      <c r="AC16" s="101"/>
      <c r="AD16" s="101"/>
      <c r="AE16" s="164">
        <v>675691074</v>
      </c>
    </row>
    <row r="17" spans="1:31" s="61" customFormat="1" ht="27" customHeight="1" thickBot="1">
      <c r="A17" s="133">
        <v>9</v>
      </c>
      <c r="B17" s="134"/>
      <c r="C17" s="135"/>
      <c r="D17" s="205" t="s">
        <v>101</v>
      </c>
      <c r="E17" s="149"/>
      <c r="F17" s="47"/>
      <c r="G17" s="48" t="s">
        <v>37</v>
      </c>
      <c r="H17" s="49">
        <v>6452000</v>
      </c>
      <c r="I17" s="199">
        <v>135</v>
      </c>
      <c r="J17" s="128">
        <v>1.1000000000000001</v>
      </c>
      <c r="K17" s="125">
        <v>0.93500000000000005</v>
      </c>
      <c r="L17" s="136">
        <f t="shared" si="1"/>
        <v>5484200</v>
      </c>
      <c r="M17" s="90">
        <f t="shared" si="2"/>
        <v>740366999.99999988</v>
      </c>
      <c r="N17" s="53">
        <v>37987</v>
      </c>
      <c r="O17" s="53" t="s">
        <v>151</v>
      </c>
      <c r="P17" s="162">
        <v>0.56999999999999995</v>
      </c>
      <c r="Q17" s="137">
        <v>0.55000000000000004</v>
      </c>
      <c r="R17" s="138">
        <f t="shared" si="0"/>
        <v>22.43013698630137</v>
      </c>
      <c r="S17" s="201">
        <v>25</v>
      </c>
      <c r="T17" s="137">
        <f t="shared" si="5"/>
        <v>0.10279452054794513</v>
      </c>
      <c r="U17" s="137">
        <f t="shared" si="6"/>
        <v>0.89720547945205487</v>
      </c>
      <c r="V17" s="139">
        <f t="shared" si="7"/>
        <v>664261329.20547938</v>
      </c>
      <c r="W17" s="137">
        <f t="shared" si="3"/>
        <v>0.32639726027397259</v>
      </c>
      <c r="X17" s="140">
        <f t="shared" si="4"/>
        <v>241653760.39726022</v>
      </c>
      <c r="Y17" s="196">
        <v>0.37</v>
      </c>
      <c r="Z17" s="59"/>
      <c r="AA17" s="58"/>
      <c r="AB17" s="58"/>
      <c r="AC17" s="101"/>
      <c r="AD17" s="101"/>
      <c r="AE17" s="197">
        <v>247084806</v>
      </c>
    </row>
    <row r="18" spans="1:31" s="61" customFormat="1" ht="33" customHeight="1" thickBot="1">
      <c r="A18" s="133">
        <v>10</v>
      </c>
      <c r="B18" s="134"/>
      <c r="C18" s="135"/>
      <c r="D18" s="205" t="s">
        <v>102</v>
      </c>
      <c r="E18" s="149"/>
      <c r="F18" s="47"/>
      <c r="G18" s="48" t="s">
        <v>37</v>
      </c>
      <c r="H18" s="49">
        <v>6452000</v>
      </c>
      <c r="I18" s="199">
        <v>19.350000000000001</v>
      </c>
      <c r="J18" s="128">
        <v>1.1000000000000001</v>
      </c>
      <c r="K18" s="125">
        <v>0.93500000000000005</v>
      </c>
      <c r="L18" s="136">
        <f t="shared" si="1"/>
        <v>5484200</v>
      </c>
      <c r="M18" s="90">
        <f t="shared" si="2"/>
        <v>106119270</v>
      </c>
      <c r="N18" s="53">
        <v>37987</v>
      </c>
      <c r="O18" s="53" t="s">
        <v>151</v>
      </c>
      <c r="P18" s="162">
        <v>0.56999999999999995</v>
      </c>
      <c r="Q18" s="137">
        <v>0.55000000000000004</v>
      </c>
      <c r="R18" s="138">
        <f>(O18-N18)/365</f>
        <v>22.43013698630137</v>
      </c>
      <c r="S18" s="201">
        <v>25</v>
      </c>
      <c r="T18" s="137">
        <f t="shared" si="5"/>
        <v>0.10279452054794513</v>
      </c>
      <c r="U18" s="137">
        <f t="shared" si="6"/>
        <v>0.89720547945205487</v>
      </c>
      <c r="V18" s="139">
        <f t="shared" si="7"/>
        <v>95210790.519452065</v>
      </c>
      <c r="W18" s="137">
        <f t="shared" si="3"/>
        <v>0.32639726027397259</v>
      </c>
      <c r="X18" s="140">
        <f t="shared" si="4"/>
        <v>34637038.990273975</v>
      </c>
      <c r="Y18" s="196">
        <v>0.37</v>
      </c>
      <c r="Z18" s="59"/>
      <c r="AA18" s="58"/>
      <c r="AB18" s="58"/>
      <c r="AC18" s="101"/>
      <c r="AD18" s="101"/>
      <c r="AE18" s="197">
        <v>35415489</v>
      </c>
    </row>
    <row r="19" spans="1:31" s="61" customFormat="1" ht="27" customHeight="1" thickBot="1">
      <c r="A19" s="133">
        <v>11</v>
      </c>
      <c r="B19" s="134"/>
      <c r="C19" s="135"/>
      <c r="D19" s="205" t="s">
        <v>103</v>
      </c>
      <c r="E19" s="149"/>
      <c r="F19" s="47"/>
      <c r="G19" s="48" t="s">
        <v>37</v>
      </c>
      <c r="H19" s="49">
        <v>6452000</v>
      </c>
      <c r="I19" s="199">
        <v>18</v>
      </c>
      <c r="J19" s="128">
        <v>1.1000000000000001</v>
      </c>
      <c r="K19" s="125">
        <v>0.93500000000000005</v>
      </c>
      <c r="L19" s="136">
        <f t="shared" si="1"/>
        <v>5484200</v>
      </c>
      <c r="M19" s="90">
        <f t="shared" si="2"/>
        <v>98715599.999999985</v>
      </c>
      <c r="N19" s="53">
        <v>37987</v>
      </c>
      <c r="O19" s="53" t="s">
        <v>151</v>
      </c>
      <c r="P19" s="162">
        <v>0.47</v>
      </c>
      <c r="Q19" s="137">
        <v>0.45</v>
      </c>
      <c r="R19" s="138">
        <f>(O19-N19)/365</f>
        <v>22.43013698630137</v>
      </c>
      <c r="S19" s="201">
        <v>25</v>
      </c>
      <c r="T19" s="137">
        <f t="shared" si="5"/>
        <v>0.10279452054794513</v>
      </c>
      <c r="U19" s="137">
        <f t="shared" si="6"/>
        <v>0.89720547945205487</v>
      </c>
      <c r="V19" s="139">
        <f t="shared" si="7"/>
        <v>88568177.227397248</v>
      </c>
      <c r="W19" s="137">
        <f t="shared" si="3"/>
        <v>0.2763972602739726</v>
      </c>
      <c r="X19" s="140">
        <f t="shared" si="4"/>
        <v>27284721.386301365</v>
      </c>
      <c r="Y19" s="196">
        <v>0.32</v>
      </c>
      <c r="Z19" s="59"/>
      <c r="AA19" s="58"/>
      <c r="AB19" s="58"/>
      <c r="AC19" s="101"/>
      <c r="AD19" s="101"/>
      <c r="AE19" s="197">
        <v>28431676</v>
      </c>
    </row>
    <row r="20" spans="1:31" s="61" customFormat="1" ht="30" customHeight="1" thickBot="1">
      <c r="A20" s="133">
        <v>12</v>
      </c>
      <c r="B20" s="134"/>
      <c r="C20" s="135"/>
      <c r="D20" s="205" t="s">
        <v>104</v>
      </c>
      <c r="E20" s="149"/>
      <c r="F20" s="47"/>
      <c r="G20" s="48" t="s">
        <v>37</v>
      </c>
      <c r="H20" s="49">
        <v>6452000</v>
      </c>
      <c r="I20" s="199">
        <v>130.69999999999999</v>
      </c>
      <c r="J20" s="128">
        <v>1.1000000000000001</v>
      </c>
      <c r="K20" s="125">
        <v>0.93500000000000005</v>
      </c>
      <c r="L20" s="136">
        <f t="shared" si="1"/>
        <v>5484200</v>
      </c>
      <c r="M20" s="90">
        <f t="shared" si="2"/>
        <v>716784939.99999988</v>
      </c>
      <c r="N20" s="53">
        <v>41640</v>
      </c>
      <c r="O20" s="53" t="s">
        <v>151</v>
      </c>
      <c r="P20" s="162">
        <v>0.67</v>
      </c>
      <c r="Q20" s="137">
        <v>0.65</v>
      </c>
      <c r="R20" s="138">
        <f>(O20-N20)/365</f>
        <v>12.421917808219177</v>
      </c>
      <c r="S20" s="201">
        <v>25</v>
      </c>
      <c r="T20" s="137">
        <f>IF((1-R20/S20)&gt;0,1-R20/S20,0)</f>
        <v>0.50312328767123282</v>
      </c>
      <c r="U20" s="137">
        <f>1-T20</f>
        <v>0.49687671232876718</v>
      </c>
      <c r="V20" s="139">
        <f>U20*M20</f>
        <v>356153744.4339726</v>
      </c>
      <c r="W20" s="137">
        <f t="shared" si="3"/>
        <v>0.57656164383561648</v>
      </c>
      <c r="X20" s="140">
        <f t="shared" si="4"/>
        <v>413270703.28301364</v>
      </c>
      <c r="Y20" s="196">
        <v>0.62</v>
      </c>
      <c r="Z20" s="59"/>
      <c r="AA20" s="58"/>
      <c r="AB20" s="58"/>
      <c r="AC20" s="101"/>
      <c r="AD20" s="101"/>
      <c r="AE20" s="197">
        <v>403060381</v>
      </c>
    </row>
    <row r="21" spans="1:31" s="61" customFormat="1" ht="27" customHeight="1" thickBot="1">
      <c r="A21" s="133">
        <v>13</v>
      </c>
      <c r="B21" s="134"/>
      <c r="C21" s="135"/>
      <c r="D21" s="205" t="s">
        <v>105</v>
      </c>
      <c r="E21" s="149"/>
      <c r="F21" s="47"/>
      <c r="G21" s="48" t="s">
        <v>37</v>
      </c>
      <c r="H21" s="49">
        <v>6247000</v>
      </c>
      <c r="I21" s="199">
        <v>93</v>
      </c>
      <c r="J21" s="128">
        <v>1.1000000000000001</v>
      </c>
      <c r="K21" s="125">
        <v>0.93500000000000005</v>
      </c>
      <c r="L21" s="136">
        <f t="shared" si="1"/>
        <v>5309950</v>
      </c>
      <c r="M21" s="90">
        <f t="shared" si="2"/>
        <v>493825349.99999994</v>
      </c>
      <c r="N21" s="53">
        <v>38353</v>
      </c>
      <c r="O21" s="53" t="s">
        <v>151</v>
      </c>
      <c r="P21" s="162">
        <v>0.47</v>
      </c>
      <c r="Q21" s="137">
        <v>0.45</v>
      </c>
      <c r="R21" s="138">
        <f>(O21-N21)/365</f>
        <v>21.427397260273974</v>
      </c>
      <c r="S21" s="201">
        <v>25</v>
      </c>
      <c r="T21" s="137">
        <f>IF((1-R21/S21)&gt;0,1-R21/S21,0)</f>
        <v>0.1429041095890411</v>
      </c>
      <c r="U21" s="137">
        <f>1-T21</f>
        <v>0.8570958904109589</v>
      </c>
      <c r="V21" s="139">
        <f>U21*M21</f>
        <v>423255678.0657534</v>
      </c>
      <c r="W21" s="137">
        <f t="shared" si="3"/>
        <v>0.29645205479452053</v>
      </c>
      <c r="X21" s="140">
        <f t="shared" si="4"/>
        <v>146395539.71712327</v>
      </c>
      <c r="Y21" s="196">
        <v>0.34</v>
      </c>
      <c r="Z21" s="59"/>
      <c r="AA21" s="58"/>
      <c r="AB21" s="58"/>
      <c r="AC21" s="101"/>
      <c r="AD21" s="101"/>
      <c r="AE21" s="197">
        <v>151009531</v>
      </c>
    </row>
    <row r="22" spans="1:31" s="61" customFormat="1" ht="33" customHeight="1" thickBot="1">
      <c r="A22" s="133">
        <v>14</v>
      </c>
      <c r="B22" s="134"/>
      <c r="C22" s="135"/>
      <c r="D22" s="205" t="s">
        <v>106</v>
      </c>
      <c r="E22" s="149"/>
      <c r="F22" s="47"/>
      <c r="G22" s="48" t="s">
        <v>37</v>
      </c>
      <c r="H22" s="49">
        <v>6452000</v>
      </c>
      <c r="I22" s="199">
        <v>363.78</v>
      </c>
      <c r="J22" s="128">
        <v>1.1000000000000001</v>
      </c>
      <c r="K22" s="125">
        <v>0.93500000000000005</v>
      </c>
      <c r="L22" s="136">
        <f t="shared" si="1"/>
        <v>5484200</v>
      </c>
      <c r="M22" s="90">
        <f t="shared" si="2"/>
        <v>1995042275.9999998</v>
      </c>
      <c r="N22" s="53">
        <v>37987</v>
      </c>
      <c r="O22" s="53" t="s">
        <v>151</v>
      </c>
      <c r="P22" s="162">
        <v>0.47</v>
      </c>
      <c r="Q22" s="137">
        <v>0.45</v>
      </c>
      <c r="R22" s="138">
        <f>(O22-N22)/365</f>
        <v>22.43013698630137</v>
      </c>
      <c r="S22" s="201">
        <v>25</v>
      </c>
      <c r="T22" s="137">
        <f>IF((1-R22/S22)&gt;0,1-R22/S22,0)</f>
        <v>0.10279452054794513</v>
      </c>
      <c r="U22" s="137">
        <f>1-T22</f>
        <v>0.89720547945205487</v>
      </c>
      <c r="V22" s="139">
        <f>U22*M22</f>
        <v>1789962861.7656987</v>
      </c>
      <c r="W22" s="137">
        <f t="shared" si="3"/>
        <v>0.2763972602739726</v>
      </c>
      <c r="X22" s="140">
        <f t="shared" si="4"/>
        <v>551424219.21715057</v>
      </c>
      <c r="Y22" s="196">
        <v>0.32</v>
      </c>
      <c r="Z22" s="59"/>
      <c r="AA22" s="58"/>
      <c r="AB22" s="58"/>
      <c r="AC22" s="101"/>
      <c r="AD22" s="101"/>
      <c r="AE22" s="197">
        <v>574604179</v>
      </c>
    </row>
    <row r="23" spans="1:31" s="61" customFormat="1" ht="27" customHeight="1" thickBot="1">
      <c r="A23" s="133">
        <v>15</v>
      </c>
      <c r="B23" s="134"/>
      <c r="C23" s="135"/>
      <c r="D23" s="205" t="s">
        <v>107</v>
      </c>
      <c r="E23" s="149"/>
      <c r="F23" s="47"/>
      <c r="G23" s="48" t="s">
        <v>37</v>
      </c>
      <c r="H23" s="49">
        <v>6247000</v>
      </c>
      <c r="I23" s="199">
        <v>400</v>
      </c>
      <c r="J23" s="128">
        <v>1.1000000000000001</v>
      </c>
      <c r="K23" s="125">
        <v>0.93500000000000005</v>
      </c>
      <c r="L23" s="136">
        <f t="shared" si="1"/>
        <v>5309950</v>
      </c>
      <c r="M23" s="90">
        <f t="shared" si="2"/>
        <v>2123979999.9999998</v>
      </c>
      <c r="N23" s="53">
        <v>37987</v>
      </c>
      <c r="O23" s="53" t="s">
        <v>151</v>
      </c>
      <c r="P23" s="162">
        <v>0.47</v>
      </c>
      <c r="Q23" s="137">
        <v>0.41</v>
      </c>
      <c r="R23" s="138">
        <f t="shared" ref="R23:R41" si="8">(O23-N23)/365</f>
        <v>22.43013698630137</v>
      </c>
      <c r="S23" s="201">
        <v>20</v>
      </c>
      <c r="T23" s="137">
        <f t="shared" ref="T23:T41" si="9">IF((1-R23/S23)&gt;0,1-R23/S23,0)</f>
        <v>0</v>
      </c>
      <c r="U23" s="137">
        <f t="shared" ref="U23:U41" si="10">1-T23</f>
        <v>1</v>
      </c>
      <c r="V23" s="139">
        <f t="shared" ref="V23:V41" si="11">U23*M23</f>
        <v>2123979999.9999998</v>
      </c>
      <c r="W23" s="137">
        <f>Q23</f>
        <v>0.41</v>
      </c>
      <c r="X23" s="140">
        <f t="shared" si="4"/>
        <v>870831799.99999988</v>
      </c>
      <c r="Y23" s="162">
        <v>0.47</v>
      </c>
      <c r="Z23" s="59"/>
      <c r="AA23" s="58"/>
      <c r="AB23" s="58"/>
      <c r="AC23" s="101"/>
      <c r="AD23" s="101"/>
      <c r="AE23" s="164">
        <v>911243520</v>
      </c>
    </row>
    <row r="24" spans="1:31" s="61" customFormat="1" ht="27" customHeight="1" thickBot="1">
      <c r="A24" s="133">
        <v>16</v>
      </c>
      <c r="B24" s="134"/>
      <c r="C24" s="135"/>
      <c r="D24" s="205" t="s">
        <v>108</v>
      </c>
      <c r="E24" s="149"/>
      <c r="F24" s="47"/>
      <c r="G24" s="48" t="s">
        <v>37</v>
      </c>
      <c r="H24" s="49">
        <v>6247000</v>
      </c>
      <c r="I24" s="199">
        <v>423.9</v>
      </c>
      <c r="J24" s="128">
        <v>1.1000000000000001</v>
      </c>
      <c r="K24" s="125">
        <v>0.93500000000000005</v>
      </c>
      <c r="L24" s="136">
        <f t="shared" si="1"/>
        <v>5309950</v>
      </c>
      <c r="M24" s="90">
        <f t="shared" si="2"/>
        <v>2250887805</v>
      </c>
      <c r="N24" s="53">
        <v>40909</v>
      </c>
      <c r="O24" s="53" t="s">
        <v>151</v>
      </c>
      <c r="P24" s="162">
        <v>0.47</v>
      </c>
      <c r="Q24" s="137">
        <v>0.41</v>
      </c>
      <c r="R24" s="138">
        <f t="shared" si="8"/>
        <v>14.424657534246576</v>
      </c>
      <c r="S24" s="201">
        <v>20</v>
      </c>
      <c r="T24" s="137">
        <f t="shared" si="9"/>
        <v>0.27876712328767117</v>
      </c>
      <c r="U24" s="137">
        <f t="shared" si="10"/>
        <v>0.72123287671232883</v>
      </c>
      <c r="V24" s="139">
        <f t="shared" si="11"/>
        <v>1623414286.7568495</v>
      </c>
      <c r="W24" s="137">
        <f t="shared" si="3"/>
        <v>0.34438356164383555</v>
      </c>
      <c r="X24" s="140">
        <f t="shared" si="4"/>
        <v>775168759.14657521</v>
      </c>
      <c r="Y24" s="162">
        <v>0.41</v>
      </c>
      <c r="Z24" s="59"/>
      <c r="AA24" s="58"/>
      <c r="AB24" s="58"/>
      <c r="AC24" s="101"/>
      <c r="AD24" s="101"/>
      <c r="AE24" s="164">
        <v>842410705</v>
      </c>
    </row>
    <row r="25" spans="1:31" s="61" customFormat="1" ht="27" customHeight="1" thickBot="1">
      <c r="A25" s="133">
        <v>17</v>
      </c>
      <c r="B25" s="134"/>
      <c r="C25" s="135"/>
      <c r="D25" s="205" t="s">
        <v>109</v>
      </c>
      <c r="E25" s="68"/>
      <c r="F25" s="47"/>
      <c r="G25" s="48" t="s">
        <v>37</v>
      </c>
      <c r="H25" s="49">
        <v>6247000</v>
      </c>
      <c r="I25" s="199">
        <v>63</v>
      </c>
      <c r="J25" s="128">
        <v>1.1000000000000001</v>
      </c>
      <c r="K25" s="125">
        <v>0.93500000000000005</v>
      </c>
      <c r="L25" s="136">
        <f t="shared" si="1"/>
        <v>5309950</v>
      </c>
      <c r="M25" s="90">
        <f t="shared" si="2"/>
        <v>334526850</v>
      </c>
      <c r="N25" s="53">
        <v>41640</v>
      </c>
      <c r="O25" s="53" t="s">
        <v>151</v>
      </c>
      <c r="P25" s="162">
        <v>0.67</v>
      </c>
      <c r="Q25" s="137">
        <v>0.63</v>
      </c>
      <c r="R25" s="138">
        <f t="shared" si="8"/>
        <v>12.421917808219177</v>
      </c>
      <c r="S25" s="201">
        <v>20</v>
      </c>
      <c r="T25" s="137">
        <f t="shared" si="9"/>
        <v>0.37890410958904108</v>
      </c>
      <c r="U25" s="137">
        <f t="shared" si="10"/>
        <v>0.62109589041095892</v>
      </c>
      <c r="V25" s="139">
        <f t="shared" si="11"/>
        <v>207773251.76712328</v>
      </c>
      <c r="W25" s="137">
        <f t="shared" si="3"/>
        <v>0.5044520547945206</v>
      </c>
      <c r="X25" s="140">
        <f t="shared" si="4"/>
        <v>168752756.86643836</v>
      </c>
      <c r="Y25" s="162">
        <v>0.56000000000000005</v>
      </c>
      <c r="Z25" s="59"/>
      <c r="AA25" s="58"/>
      <c r="AB25" s="58"/>
      <c r="AC25" s="101"/>
      <c r="AD25" s="101"/>
      <c r="AE25" s="164">
        <v>171003571</v>
      </c>
    </row>
    <row r="26" spans="1:31" s="61" customFormat="1" ht="27" customHeight="1" thickBot="1">
      <c r="A26" s="133">
        <v>18</v>
      </c>
      <c r="B26" s="134"/>
      <c r="C26" s="135"/>
      <c r="D26" s="205" t="s">
        <v>110</v>
      </c>
      <c r="E26" s="149"/>
      <c r="F26" s="47"/>
      <c r="G26" s="48" t="s">
        <v>37</v>
      </c>
      <c r="H26" s="49">
        <v>6247000</v>
      </c>
      <c r="I26" s="199">
        <v>80</v>
      </c>
      <c r="J26" s="128">
        <v>1.1000000000000001</v>
      </c>
      <c r="K26" s="125">
        <v>0.93500000000000005</v>
      </c>
      <c r="L26" s="136">
        <f t="shared" si="1"/>
        <v>5309950</v>
      </c>
      <c r="M26" s="90">
        <f t="shared" si="2"/>
        <v>424795999.99999994</v>
      </c>
      <c r="N26" s="53">
        <v>41640</v>
      </c>
      <c r="O26" s="53" t="s">
        <v>151</v>
      </c>
      <c r="P26" s="162">
        <v>0.67</v>
      </c>
      <c r="Q26" s="137">
        <v>0.63</v>
      </c>
      <c r="R26" s="138">
        <f t="shared" si="8"/>
        <v>12.421917808219177</v>
      </c>
      <c r="S26" s="201">
        <v>20</v>
      </c>
      <c r="T26" s="137">
        <f t="shared" si="9"/>
        <v>0.37890410958904108</v>
      </c>
      <c r="U26" s="137">
        <f t="shared" si="10"/>
        <v>0.62109589041095892</v>
      </c>
      <c r="V26" s="139">
        <f t="shared" si="11"/>
        <v>263839049.86301365</v>
      </c>
      <c r="W26" s="137">
        <f t="shared" si="3"/>
        <v>0.5044520547945206</v>
      </c>
      <c r="X26" s="140">
        <f t="shared" si="4"/>
        <v>214289215.06849313</v>
      </c>
      <c r="Y26" s="162">
        <v>0.56000000000000005</v>
      </c>
      <c r="Z26" s="59"/>
      <c r="AA26" s="58"/>
      <c r="AB26" s="58"/>
      <c r="AC26" s="101"/>
      <c r="AD26" s="101"/>
      <c r="AE26" s="164">
        <v>217147392</v>
      </c>
    </row>
    <row r="27" spans="1:31" s="61" customFormat="1" ht="27" customHeight="1" thickBot="1">
      <c r="A27" s="133">
        <v>19</v>
      </c>
      <c r="B27" s="134"/>
      <c r="C27" s="135"/>
      <c r="D27" s="205" t="s">
        <v>111</v>
      </c>
      <c r="E27" s="149"/>
      <c r="F27" s="47"/>
      <c r="G27" s="48" t="s">
        <v>37</v>
      </c>
      <c r="H27" s="49">
        <v>6247000</v>
      </c>
      <c r="I27" s="199">
        <v>33.9</v>
      </c>
      <c r="J27" s="128">
        <v>1.1000000000000001</v>
      </c>
      <c r="K27" s="125">
        <v>0.93500000000000005</v>
      </c>
      <c r="L27" s="136">
        <f t="shared" si="1"/>
        <v>5309950</v>
      </c>
      <c r="M27" s="90">
        <f t="shared" si="2"/>
        <v>180007305</v>
      </c>
      <c r="N27" s="53">
        <v>37987</v>
      </c>
      <c r="O27" s="53" t="s">
        <v>151</v>
      </c>
      <c r="P27" s="162">
        <v>0.67</v>
      </c>
      <c r="Q27" s="137">
        <v>0.63</v>
      </c>
      <c r="R27" s="138">
        <f t="shared" si="8"/>
        <v>22.43013698630137</v>
      </c>
      <c r="S27" s="201">
        <v>20</v>
      </c>
      <c r="T27" s="137">
        <f t="shared" si="9"/>
        <v>0</v>
      </c>
      <c r="U27" s="137">
        <f t="shared" si="10"/>
        <v>1</v>
      </c>
      <c r="V27" s="139">
        <f t="shared" si="11"/>
        <v>180007305</v>
      </c>
      <c r="W27" s="137">
        <f t="shared" si="3"/>
        <v>0.315</v>
      </c>
      <c r="X27" s="140">
        <f t="shared" si="4"/>
        <v>56702301.075000003</v>
      </c>
      <c r="Y27" s="162">
        <v>0.67</v>
      </c>
      <c r="Z27" s="59"/>
      <c r="AA27" s="58"/>
      <c r="AB27" s="58"/>
      <c r="AC27" s="101"/>
      <c r="AD27" s="101"/>
      <c r="AE27" s="164">
        <v>110090820</v>
      </c>
    </row>
    <row r="28" spans="1:31" s="61" customFormat="1" ht="27" customHeight="1" thickBot="1">
      <c r="A28" s="133">
        <v>20</v>
      </c>
      <c r="B28" s="134"/>
      <c r="C28" s="135"/>
      <c r="D28" s="205" t="s">
        <v>125</v>
      </c>
      <c r="E28" s="149"/>
      <c r="F28" s="47"/>
      <c r="G28" s="48" t="s">
        <v>37</v>
      </c>
      <c r="H28" s="49">
        <v>246700</v>
      </c>
      <c r="I28" s="199">
        <v>625</v>
      </c>
      <c r="J28" s="128">
        <v>1.1000000000000001</v>
      </c>
      <c r="K28" s="125"/>
      <c r="L28" s="136">
        <f t="shared" si="1"/>
        <v>0</v>
      </c>
      <c r="M28" s="90">
        <f>H28*I28</f>
        <v>154187500</v>
      </c>
      <c r="N28" s="53">
        <v>38353</v>
      </c>
      <c r="O28" s="53" t="s">
        <v>151</v>
      </c>
      <c r="P28" s="162">
        <v>0.47</v>
      </c>
      <c r="Q28" s="137">
        <v>0.43</v>
      </c>
      <c r="R28" s="138">
        <f t="shared" si="8"/>
        <v>21.427397260273974</v>
      </c>
      <c r="S28" s="201">
        <v>20</v>
      </c>
      <c r="T28" s="137">
        <f t="shared" si="9"/>
        <v>0</v>
      </c>
      <c r="U28" s="137">
        <f t="shared" si="10"/>
        <v>1</v>
      </c>
      <c r="V28" s="139">
        <f t="shared" si="11"/>
        <v>154187500</v>
      </c>
      <c r="W28" s="137">
        <f>Q28</f>
        <v>0.43</v>
      </c>
      <c r="X28" s="140">
        <f t="shared" si="4"/>
        <v>66300625</v>
      </c>
      <c r="Y28" s="162">
        <v>0.47</v>
      </c>
      <c r="Z28" s="59"/>
      <c r="AA28" s="58"/>
      <c r="AB28" s="58"/>
      <c r="AC28" s="101"/>
      <c r="AD28" s="101"/>
      <c r="AE28" s="164">
        <v>72468125</v>
      </c>
    </row>
    <row r="29" spans="1:31" s="61" customFormat="1" ht="27" customHeight="1" thickBot="1">
      <c r="A29" s="133">
        <v>21</v>
      </c>
      <c r="B29" s="134"/>
      <c r="C29" s="135"/>
      <c r="D29" s="205" t="s">
        <v>112</v>
      </c>
      <c r="E29" s="149"/>
      <c r="F29" s="47"/>
      <c r="G29" s="48" t="s">
        <v>37</v>
      </c>
      <c r="H29" s="49">
        <v>9246000</v>
      </c>
      <c r="I29" s="200">
        <v>2620.5</v>
      </c>
      <c r="J29" s="128">
        <v>1.1000000000000001</v>
      </c>
      <c r="K29" s="125">
        <v>0.93500000000000005</v>
      </c>
      <c r="L29" s="136">
        <f t="shared" si="1"/>
        <v>7859099.9999999991</v>
      </c>
      <c r="M29" s="90">
        <f t="shared" si="2"/>
        <v>20594771550</v>
      </c>
      <c r="N29" s="53">
        <v>37622</v>
      </c>
      <c r="O29" s="53" t="s">
        <v>151</v>
      </c>
      <c r="P29" s="162">
        <v>0.77</v>
      </c>
      <c r="Q29" s="137">
        <v>0.75</v>
      </c>
      <c r="R29" s="138">
        <f t="shared" si="8"/>
        <v>23.43013698630137</v>
      </c>
      <c r="S29" s="201">
        <v>50</v>
      </c>
      <c r="T29" s="137">
        <f t="shared" si="9"/>
        <v>0.5313972602739726</v>
      </c>
      <c r="U29" s="137">
        <f t="shared" si="10"/>
        <v>0.4686027397260274</v>
      </c>
      <c r="V29" s="139">
        <f t="shared" si="11"/>
        <v>9650766372.3616447</v>
      </c>
      <c r="W29" s="137">
        <f t="shared" si="3"/>
        <v>0.64069863013698636</v>
      </c>
      <c r="X29" s="140">
        <f t="shared" si="4"/>
        <v>13195041920.06918</v>
      </c>
      <c r="Y29" s="162">
        <v>0.67</v>
      </c>
      <c r="Z29" s="59"/>
      <c r="AA29" s="58"/>
      <c r="AB29" s="58"/>
      <c r="AC29" s="101"/>
      <c r="AD29" s="101"/>
      <c r="AE29" s="164">
        <v>13349357848</v>
      </c>
    </row>
    <row r="30" spans="1:31" s="61" customFormat="1" ht="27" customHeight="1" thickBot="1">
      <c r="A30" s="133">
        <v>22</v>
      </c>
      <c r="B30" s="134"/>
      <c r="C30" s="135"/>
      <c r="D30" s="205" t="s">
        <v>113</v>
      </c>
      <c r="E30" s="68"/>
      <c r="F30" s="47"/>
      <c r="G30" s="48" t="s">
        <v>37</v>
      </c>
      <c r="H30" s="49">
        <v>8370000</v>
      </c>
      <c r="I30" s="200">
        <v>1277.43</v>
      </c>
      <c r="J30" s="128">
        <v>1.1000000000000001</v>
      </c>
      <c r="K30" s="125">
        <v>0.93500000000000005</v>
      </c>
      <c r="L30" s="136">
        <f t="shared" si="1"/>
        <v>7114499.9999999991</v>
      </c>
      <c r="M30" s="90">
        <f t="shared" si="2"/>
        <v>9088275735</v>
      </c>
      <c r="N30" s="53">
        <v>37622</v>
      </c>
      <c r="O30" s="53" t="s">
        <v>151</v>
      </c>
      <c r="P30" s="162">
        <v>0.77</v>
      </c>
      <c r="Q30" s="137">
        <v>0.75</v>
      </c>
      <c r="R30" s="138">
        <f t="shared" si="8"/>
        <v>23.43013698630137</v>
      </c>
      <c r="S30" s="201">
        <v>50</v>
      </c>
      <c r="T30" s="137">
        <f t="shared" si="9"/>
        <v>0.5313972602739726</v>
      </c>
      <c r="U30" s="137">
        <f t="shared" si="10"/>
        <v>0.4686027397260274</v>
      </c>
      <c r="V30" s="139">
        <f t="shared" si="11"/>
        <v>4258790908.8065753</v>
      </c>
      <c r="W30" s="137">
        <f t="shared" si="3"/>
        <v>0.64069863013698636</v>
      </c>
      <c r="X30" s="140">
        <f t="shared" si="4"/>
        <v>5822845813.7217131</v>
      </c>
      <c r="Y30" s="162">
        <v>0.67</v>
      </c>
      <c r="Z30" s="59"/>
      <c r="AA30" s="58"/>
      <c r="AB30" s="58"/>
      <c r="AC30" s="101"/>
      <c r="AD30" s="101"/>
      <c r="AE30" s="164">
        <v>6532903965</v>
      </c>
    </row>
    <row r="31" spans="1:31" s="61" customFormat="1" ht="27" customHeight="1" thickBot="1">
      <c r="A31" s="133">
        <v>23</v>
      </c>
      <c r="B31" s="134"/>
      <c r="C31" s="135"/>
      <c r="D31" s="205" t="s">
        <v>114</v>
      </c>
      <c r="E31" s="149"/>
      <c r="F31" s="47"/>
      <c r="G31" s="48" t="s">
        <v>37</v>
      </c>
      <c r="H31" s="49">
        <v>8370000</v>
      </c>
      <c r="I31" s="200">
        <v>1520</v>
      </c>
      <c r="J31" s="128">
        <v>1.1000000000000001</v>
      </c>
      <c r="K31" s="125">
        <v>0.93500000000000005</v>
      </c>
      <c r="L31" s="136">
        <f t="shared" si="1"/>
        <v>7114499.9999999991</v>
      </c>
      <c r="M31" s="90">
        <f t="shared" si="2"/>
        <v>10814040000</v>
      </c>
      <c r="N31" s="53">
        <v>37622</v>
      </c>
      <c r="O31" s="53" t="s">
        <v>151</v>
      </c>
      <c r="P31" s="162">
        <v>0.77</v>
      </c>
      <c r="Q31" s="137">
        <v>0.75</v>
      </c>
      <c r="R31" s="138">
        <f t="shared" si="8"/>
        <v>23.43013698630137</v>
      </c>
      <c r="S31" s="201">
        <v>50</v>
      </c>
      <c r="T31" s="137">
        <f t="shared" si="9"/>
        <v>0.5313972602739726</v>
      </c>
      <c r="U31" s="137">
        <f t="shared" si="10"/>
        <v>0.4686027397260274</v>
      </c>
      <c r="V31" s="139">
        <f t="shared" si="11"/>
        <v>5067488771.5068493</v>
      </c>
      <c r="W31" s="137">
        <f t="shared" si="3"/>
        <v>0.64069863013698636</v>
      </c>
      <c r="X31" s="140">
        <f t="shared" si="4"/>
        <v>6928540614.2465763</v>
      </c>
      <c r="Y31" s="162">
        <v>0.67</v>
      </c>
      <c r="Z31" s="59"/>
      <c r="AA31" s="58"/>
      <c r="AB31" s="58"/>
      <c r="AC31" s="101"/>
      <c r="AD31" s="101"/>
      <c r="AE31" s="164">
        <v>7773431050</v>
      </c>
    </row>
    <row r="32" spans="1:31" s="61" customFormat="1" ht="27" customHeight="1" thickBot="1">
      <c r="A32" s="133">
        <v>24</v>
      </c>
      <c r="B32" s="134"/>
      <c r="C32" s="135"/>
      <c r="D32" s="205" t="s">
        <v>115</v>
      </c>
      <c r="E32" s="149"/>
      <c r="F32" s="47"/>
      <c r="G32" s="48" t="s">
        <v>37</v>
      </c>
      <c r="H32" s="49">
        <v>9246000</v>
      </c>
      <c r="I32" s="199">
        <v>377</v>
      </c>
      <c r="J32" s="128">
        <v>1.1000000000000001</v>
      </c>
      <c r="K32" s="125">
        <v>0.93500000000000005</v>
      </c>
      <c r="L32" s="136">
        <f t="shared" si="1"/>
        <v>7859099.9999999991</v>
      </c>
      <c r="M32" s="90">
        <f t="shared" si="2"/>
        <v>2962880699.9999995</v>
      </c>
      <c r="N32" s="53">
        <v>37622</v>
      </c>
      <c r="O32" s="53" t="s">
        <v>151</v>
      </c>
      <c r="P32" s="162">
        <v>0.75</v>
      </c>
      <c r="Q32" s="137">
        <v>0.73</v>
      </c>
      <c r="R32" s="138">
        <f t="shared" si="8"/>
        <v>23.43013698630137</v>
      </c>
      <c r="S32" s="201">
        <v>50</v>
      </c>
      <c r="T32" s="137">
        <f t="shared" si="9"/>
        <v>0.5313972602739726</v>
      </c>
      <c r="U32" s="137">
        <f t="shared" si="10"/>
        <v>0.4686027397260274</v>
      </c>
      <c r="V32" s="139">
        <f t="shared" si="11"/>
        <v>1388414013.5013697</v>
      </c>
      <c r="W32" s="137">
        <f t="shared" si="3"/>
        <v>0.63069863013698635</v>
      </c>
      <c r="X32" s="140">
        <f t="shared" si="4"/>
        <v>1868684798.749315</v>
      </c>
      <c r="Y32" s="162">
        <v>0.66</v>
      </c>
      <c r="Z32" s="59"/>
      <c r="AA32" s="58"/>
      <c r="AB32" s="58"/>
      <c r="AC32" s="101"/>
      <c r="AD32" s="101"/>
      <c r="AE32" s="164">
        <v>1891634455</v>
      </c>
    </row>
    <row r="33" spans="1:31" s="61" customFormat="1" ht="27" customHeight="1" thickBot="1">
      <c r="A33" s="133">
        <v>25</v>
      </c>
      <c r="B33" s="134"/>
      <c r="C33" s="135"/>
      <c r="D33" s="205" t="s">
        <v>116</v>
      </c>
      <c r="E33" s="149"/>
      <c r="F33" s="47"/>
      <c r="G33" s="48" t="s">
        <v>37</v>
      </c>
      <c r="H33" s="49">
        <v>9246000</v>
      </c>
      <c r="I33" s="199">
        <v>708</v>
      </c>
      <c r="J33" s="128">
        <v>1.1000000000000001</v>
      </c>
      <c r="K33" s="125">
        <v>0.93500000000000005</v>
      </c>
      <c r="L33" s="136">
        <f t="shared" si="1"/>
        <v>7859099.9999999991</v>
      </c>
      <c r="M33" s="90">
        <f t="shared" si="2"/>
        <v>5564242800</v>
      </c>
      <c r="N33" s="53">
        <v>38353</v>
      </c>
      <c r="O33" s="53" t="s">
        <v>151</v>
      </c>
      <c r="P33" s="162">
        <v>0.75</v>
      </c>
      <c r="Q33" s="137">
        <v>0.73</v>
      </c>
      <c r="R33" s="138">
        <f t="shared" si="8"/>
        <v>21.427397260273974</v>
      </c>
      <c r="S33" s="201">
        <v>50</v>
      </c>
      <c r="T33" s="137">
        <f t="shared" si="9"/>
        <v>0.57145205479452055</v>
      </c>
      <c r="U33" s="137">
        <f t="shared" si="10"/>
        <v>0.42854794520547945</v>
      </c>
      <c r="V33" s="139">
        <f t="shared" si="11"/>
        <v>2384544818.5643835</v>
      </c>
      <c r="W33" s="137">
        <f t="shared" si="3"/>
        <v>0.65072602739726026</v>
      </c>
      <c r="X33" s="140">
        <f t="shared" si="4"/>
        <v>3620797612.7178082</v>
      </c>
      <c r="Y33" s="162">
        <v>0.68</v>
      </c>
      <c r="Z33" s="59"/>
      <c r="AA33" s="58"/>
      <c r="AB33" s="58"/>
      <c r="AC33" s="101"/>
      <c r="AD33" s="101"/>
      <c r="AE33" s="164">
        <v>3660931445</v>
      </c>
    </row>
    <row r="34" spans="1:31" s="182" customFormat="1" ht="27" customHeight="1" thickBot="1">
      <c r="A34" s="133">
        <v>26</v>
      </c>
      <c r="B34" s="134"/>
      <c r="C34" s="135"/>
      <c r="D34" s="205" t="s">
        <v>117</v>
      </c>
      <c r="E34" s="149"/>
      <c r="F34" s="47"/>
      <c r="G34" s="48" t="s">
        <v>37</v>
      </c>
      <c r="H34" s="49">
        <v>3100000</v>
      </c>
      <c r="I34" s="199">
        <v>44.64</v>
      </c>
      <c r="J34" s="128">
        <v>1.1000000000000001</v>
      </c>
      <c r="K34" s="173">
        <v>0</v>
      </c>
      <c r="L34" s="136">
        <f t="shared" si="1"/>
        <v>0</v>
      </c>
      <c r="M34" s="90">
        <f t="shared" ref="M34:M41" si="12">H34*I34</f>
        <v>138384000</v>
      </c>
      <c r="N34" s="174">
        <v>39448</v>
      </c>
      <c r="O34" s="53" t="s">
        <v>151</v>
      </c>
      <c r="P34" s="162">
        <v>0.72</v>
      </c>
      <c r="Q34" s="175">
        <v>0.68</v>
      </c>
      <c r="R34" s="176">
        <f t="shared" si="8"/>
        <v>18.427397260273974</v>
      </c>
      <c r="S34" s="189">
        <v>20</v>
      </c>
      <c r="T34" s="175">
        <f t="shared" si="9"/>
        <v>7.863013698630128E-2</v>
      </c>
      <c r="U34" s="175">
        <f t="shared" si="10"/>
        <v>0.92136986301369872</v>
      </c>
      <c r="V34" s="139">
        <f t="shared" si="11"/>
        <v>127502847.12328768</v>
      </c>
      <c r="W34" s="137">
        <f t="shared" si="3"/>
        <v>0.37931506849315066</v>
      </c>
      <c r="X34" s="140">
        <f t="shared" si="4"/>
        <v>52491136.438356161</v>
      </c>
      <c r="Y34" s="178">
        <v>0.44</v>
      </c>
      <c r="Z34" s="179"/>
      <c r="AA34" s="177"/>
      <c r="AB34" s="177"/>
      <c r="AC34" s="180"/>
      <c r="AD34" s="180"/>
      <c r="AE34" s="181">
        <v>62138880</v>
      </c>
    </row>
    <row r="35" spans="1:31" s="182" customFormat="1" ht="27" customHeight="1" thickBot="1">
      <c r="A35" s="133">
        <v>27</v>
      </c>
      <c r="B35" s="134"/>
      <c r="C35" s="135"/>
      <c r="D35" s="205" t="s">
        <v>118</v>
      </c>
      <c r="E35" s="68"/>
      <c r="F35" s="47"/>
      <c r="G35" s="48" t="s">
        <v>37</v>
      </c>
      <c r="H35" s="49">
        <v>3100000</v>
      </c>
      <c r="I35" s="199">
        <v>18.260000000000002</v>
      </c>
      <c r="J35" s="128">
        <v>1.1000000000000001</v>
      </c>
      <c r="K35" s="173">
        <v>0</v>
      </c>
      <c r="L35" s="136">
        <f t="shared" si="1"/>
        <v>0</v>
      </c>
      <c r="M35" s="90">
        <f t="shared" si="12"/>
        <v>56606000.000000007</v>
      </c>
      <c r="N35" s="174">
        <v>39448</v>
      </c>
      <c r="O35" s="53" t="s">
        <v>151</v>
      </c>
      <c r="P35" s="162">
        <v>0.72</v>
      </c>
      <c r="Q35" s="175">
        <v>0.68</v>
      </c>
      <c r="R35" s="176">
        <f t="shared" si="8"/>
        <v>18.427397260273974</v>
      </c>
      <c r="S35" s="189">
        <v>20</v>
      </c>
      <c r="T35" s="175">
        <f t="shared" si="9"/>
        <v>7.863013698630128E-2</v>
      </c>
      <c r="U35" s="175">
        <f t="shared" si="10"/>
        <v>0.92136986301369872</v>
      </c>
      <c r="V35" s="139">
        <f t="shared" si="11"/>
        <v>52155062.465753436</v>
      </c>
      <c r="W35" s="137">
        <f t="shared" si="3"/>
        <v>0.37931506849315066</v>
      </c>
      <c r="X35" s="140">
        <f t="shared" si="4"/>
        <v>21471508.767123289</v>
      </c>
      <c r="Y35" s="178">
        <v>0.44</v>
      </c>
      <c r="Z35" s="179"/>
      <c r="AA35" s="177"/>
      <c r="AB35" s="177"/>
      <c r="AC35" s="180"/>
      <c r="AD35" s="180"/>
      <c r="AE35" s="181">
        <v>25417920</v>
      </c>
    </row>
    <row r="36" spans="1:31" s="182" customFormat="1" ht="27" customHeight="1" thickBot="1">
      <c r="A36" s="133">
        <v>28</v>
      </c>
      <c r="B36" s="134"/>
      <c r="C36" s="135"/>
      <c r="D36" s="205" t="s">
        <v>119</v>
      </c>
      <c r="E36" s="149"/>
      <c r="F36" s="47"/>
      <c r="G36" s="48" t="s">
        <v>37</v>
      </c>
      <c r="H36" s="49">
        <v>3100000</v>
      </c>
      <c r="I36" s="199">
        <v>357.2</v>
      </c>
      <c r="J36" s="128">
        <v>1.1000000000000001</v>
      </c>
      <c r="K36" s="173">
        <v>0</v>
      </c>
      <c r="L36" s="136">
        <f t="shared" si="1"/>
        <v>0</v>
      </c>
      <c r="M36" s="90">
        <f t="shared" si="12"/>
        <v>1107320000</v>
      </c>
      <c r="N36" s="174">
        <v>38353</v>
      </c>
      <c r="O36" s="53" t="s">
        <v>151</v>
      </c>
      <c r="P36" s="162">
        <v>0.62</v>
      </c>
      <c r="Q36" s="175">
        <v>0.57999999999999996</v>
      </c>
      <c r="R36" s="176">
        <f t="shared" si="8"/>
        <v>21.427397260273974</v>
      </c>
      <c r="S36" s="189">
        <v>20</v>
      </c>
      <c r="T36" s="175">
        <f t="shared" si="9"/>
        <v>0</v>
      </c>
      <c r="U36" s="175">
        <f t="shared" si="10"/>
        <v>1</v>
      </c>
      <c r="V36" s="139">
        <f t="shared" si="11"/>
        <v>1107320000</v>
      </c>
      <c r="W36" s="137">
        <f t="shared" ref="W36:W41" si="13">Q36</f>
        <v>0.57999999999999996</v>
      </c>
      <c r="X36" s="140">
        <f t="shared" si="4"/>
        <v>642245600</v>
      </c>
      <c r="Y36" s="178">
        <v>0.62</v>
      </c>
      <c r="Z36" s="179"/>
      <c r="AA36" s="177"/>
      <c r="AB36" s="177"/>
      <c r="AC36" s="180"/>
      <c r="AD36" s="180"/>
      <c r="AE36" s="181">
        <v>708684800</v>
      </c>
    </row>
    <row r="37" spans="1:31" s="182" customFormat="1" ht="27" customHeight="1" thickBot="1">
      <c r="A37" s="142">
        <v>29</v>
      </c>
      <c r="B37" s="143"/>
      <c r="C37" s="144"/>
      <c r="D37" s="145" t="s">
        <v>120</v>
      </c>
      <c r="E37" s="150"/>
      <c r="F37" s="111"/>
      <c r="G37" s="112" t="s">
        <v>37</v>
      </c>
      <c r="H37" s="113">
        <v>1491200</v>
      </c>
      <c r="I37" s="200">
        <v>1485.12</v>
      </c>
      <c r="J37" s="128">
        <v>1.1000000000000001</v>
      </c>
      <c r="K37" s="173"/>
      <c r="L37" s="136">
        <f t="shared" si="1"/>
        <v>0</v>
      </c>
      <c r="M37" s="90">
        <f t="shared" si="12"/>
        <v>2214610944</v>
      </c>
      <c r="N37" s="174">
        <v>37622</v>
      </c>
      <c r="O37" s="53" t="s">
        <v>151</v>
      </c>
      <c r="P37" s="162">
        <v>0.52</v>
      </c>
      <c r="Q37" s="175">
        <v>0.5</v>
      </c>
      <c r="R37" s="176">
        <f t="shared" si="8"/>
        <v>23.43013698630137</v>
      </c>
      <c r="S37" s="189">
        <v>20</v>
      </c>
      <c r="T37" s="175">
        <f t="shared" si="9"/>
        <v>0</v>
      </c>
      <c r="U37" s="175">
        <f t="shared" si="10"/>
        <v>1</v>
      </c>
      <c r="V37" s="139">
        <f t="shared" si="11"/>
        <v>2214610944</v>
      </c>
      <c r="W37" s="137">
        <f t="shared" si="13"/>
        <v>0.5</v>
      </c>
      <c r="X37" s="140">
        <f t="shared" si="4"/>
        <v>1107305472</v>
      </c>
      <c r="Y37" s="178">
        <v>0.52</v>
      </c>
      <c r="Z37" s="179"/>
      <c r="AA37" s="177"/>
      <c r="AB37" s="177"/>
      <c r="AC37" s="180"/>
      <c r="AD37" s="180"/>
      <c r="AE37" s="181">
        <v>1150825428</v>
      </c>
    </row>
    <row r="38" spans="1:31" s="182" customFormat="1" ht="27" customHeight="1" thickBot="1">
      <c r="A38" s="142">
        <v>30</v>
      </c>
      <c r="B38" s="143"/>
      <c r="C38" s="144"/>
      <c r="D38" s="145" t="s">
        <v>121</v>
      </c>
      <c r="E38" s="150"/>
      <c r="F38" s="111"/>
      <c r="G38" s="112" t="s">
        <v>37</v>
      </c>
      <c r="H38" s="113">
        <v>4500000</v>
      </c>
      <c r="I38" s="199">
        <v>505.16</v>
      </c>
      <c r="J38" s="128">
        <v>1.1000000000000001</v>
      </c>
      <c r="K38" s="173"/>
      <c r="L38" s="136">
        <f t="shared" si="1"/>
        <v>0</v>
      </c>
      <c r="M38" s="90">
        <f t="shared" si="12"/>
        <v>2273220000</v>
      </c>
      <c r="N38" s="174">
        <v>37987</v>
      </c>
      <c r="O38" s="53" t="s">
        <v>151</v>
      </c>
      <c r="P38" s="162">
        <v>0.72</v>
      </c>
      <c r="Q38" s="175">
        <v>0.7</v>
      </c>
      <c r="R38" s="176">
        <f t="shared" si="8"/>
        <v>22.43013698630137</v>
      </c>
      <c r="S38" s="189">
        <v>20</v>
      </c>
      <c r="T38" s="175">
        <f t="shared" si="9"/>
        <v>0</v>
      </c>
      <c r="U38" s="175">
        <f t="shared" si="10"/>
        <v>1</v>
      </c>
      <c r="V38" s="139">
        <f t="shared" si="11"/>
        <v>2273220000</v>
      </c>
      <c r="W38" s="137">
        <f t="shared" si="13"/>
        <v>0.7</v>
      </c>
      <c r="X38" s="140">
        <f t="shared" si="4"/>
        <v>1591254000</v>
      </c>
      <c r="Y38" s="178">
        <v>0.72</v>
      </c>
      <c r="Z38" s="179"/>
      <c r="AA38" s="177"/>
      <c r="AB38" s="177"/>
      <c r="AC38" s="180"/>
      <c r="AD38" s="180"/>
      <c r="AE38" s="181">
        <v>1636718400</v>
      </c>
    </row>
    <row r="39" spans="1:31" s="182" customFormat="1" ht="27" customHeight="1" thickBot="1">
      <c r="A39" s="142">
        <v>31</v>
      </c>
      <c r="B39" s="143"/>
      <c r="C39" s="144"/>
      <c r="D39" s="145" t="s">
        <v>122</v>
      </c>
      <c r="E39" s="150"/>
      <c r="F39" s="111"/>
      <c r="G39" s="112" t="s">
        <v>37</v>
      </c>
      <c r="H39" s="113">
        <v>4500000</v>
      </c>
      <c r="I39" s="199">
        <v>180</v>
      </c>
      <c r="J39" s="128">
        <v>1.1000000000000001</v>
      </c>
      <c r="K39" s="173"/>
      <c r="L39" s="136">
        <f t="shared" si="1"/>
        <v>0</v>
      </c>
      <c r="M39" s="90">
        <f t="shared" si="12"/>
        <v>810000000</v>
      </c>
      <c r="N39" s="174">
        <v>37987</v>
      </c>
      <c r="O39" s="53" t="s">
        <v>151</v>
      </c>
      <c r="P39" s="162">
        <v>0.72</v>
      </c>
      <c r="Q39" s="175">
        <v>0.7</v>
      </c>
      <c r="R39" s="176">
        <f t="shared" si="8"/>
        <v>22.43013698630137</v>
      </c>
      <c r="S39" s="189">
        <v>20</v>
      </c>
      <c r="T39" s="175">
        <f t="shared" si="9"/>
        <v>0</v>
      </c>
      <c r="U39" s="175">
        <f t="shared" si="10"/>
        <v>1</v>
      </c>
      <c r="V39" s="139">
        <f t="shared" si="11"/>
        <v>810000000</v>
      </c>
      <c r="W39" s="137">
        <f t="shared" si="13"/>
        <v>0.7</v>
      </c>
      <c r="X39" s="140">
        <f t="shared" si="4"/>
        <v>567000000</v>
      </c>
      <c r="Y39" s="178">
        <v>0.72</v>
      </c>
      <c r="Z39" s="179"/>
      <c r="AA39" s="177"/>
      <c r="AB39" s="177"/>
      <c r="AC39" s="180"/>
      <c r="AD39" s="180"/>
      <c r="AE39" s="181">
        <v>583200000</v>
      </c>
    </row>
    <row r="40" spans="1:31" s="195" customFormat="1" ht="27" customHeight="1" thickBot="1">
      <c r="A40" s="142">
        <v>32</v>
      </c>
      <c r="B40" s="143"/>
      <c r="C40" s="144"/>
      <c r="D40" s="145" t="s">
        <v>123</v>
      </c>
      <c r="E40" s="160"/>
      <c r="F40" s="111"/>
      <c r="G40" s="112" t="s">
        <v>37</v>
      </c>
      <c r="H40" s="113">
        <v>350000</v>
      </c>
      <c r="I40" s="200">
        <v>9434.2000000000007</v>
      </c>
      <c r="J40" s="128">
        <v>1.1000000000000001</v>
      </c>
      <c r="K40" s="185"/>
      <c r="L40" s="136">
        <f t="shared" si="1"/>
        <v>0</v>
      </c>
      <c r="M40" s="90">
        <f t="shared" si="12"/>
        <v>3301970000.0000005</v>
      </c>
      <c r="N40" s="186">
        <v>37987</v>
      </c>
      <c r="O40" s="53" t="s">
        <v>151</v>
      </c>
      <c r="P40" s="162">
        <v>0.67</v>
      </c>
      <c r="Q40" s="187">
        <v>0.65</v>
      </c>
      <c r="R40" s="188">
        <f t="shared" si="8"/>
        <v>22.43013698630137</v>
      </c>
      <c r="S40" s="189">
        <v>20</v>
      </c>
      <c r="T40" s="187">
        <f t="shared" si="9"/>
        <v>0</v>
      </c>
      <c r="U40" s="187">
        <f t="shared" si="10"/>
        <v>1</v>
      </c>
      <c r="V40" s="139">
        <f t="shared" si="11"/>
        <v>3301970000.0000005</v>
      </c>
      <c r="W40" s="137">
        <f t="shared" si="13"/>
        <v>0.65</v>
      </c>
      <c r="X40" s="140">
        <f t="shared" si="4"/>
        <v>2146280500.0000005</v>
      </c>
      <c r="Y40" s="191">
        <v>0.67</v>
      </c>
      <c r="Z40" s="192"/>
      <c r="AA40" s="190"/>
      <c r="AB40" s="190"/>
      <c r="AC40" s="193"/>
      <c r="AD40" s="193"/>
      <c r="AE40" s="194">
        <v>2212319900</v>
      </c>
    </row>
    <row r="41" spans="1:31" s="195" customFormat="1" ht="27" customHeight="1" thickBot="1">
      <c r="A41" s="142">
        <v>33</v>
      </c>
      <c r="B41" s="143"/>
      <c r="C41" s="144"/>
      <c r="D41" s="145" t="s">
        <v>124</v>
      </c>
      <c r="E41" s="150"/>
      <c r="F41" s="111"/>
      <c r="G41" s="112" t="s">
        <v>37</v>
      </c>
      <c r="H41" s="113">
        <v>350000</v>
      </c>
      <c r="I41" s="199">
        <v>675</v>
      </c>
      <c r="J41" s="128">
        <v>1.1000000000000001</v>
      </c>
      <c r="K41" s="185"/>
      <c r="L41" s="136">
        <f t="shared" si="1"/>
        <v>0</v>
      </c>
      <c r="M41" s="90">
        <f t="shared" si="12"/>
        <v>236250000</v>
      </c>
      <c r="N41" s="186">
        <v>37987</v>
      </c>
      <c r="O41" s="53" t="s">
        <v>151</v>
      </c>
      <c r="P41" s="162">
        <v>0.67</v>
      </c>
      <c r="Q41" s="187">
        <v>0.65</v>
      </c>
      <c r="R41" s="188">
        <f t="shared" si="8"/>
        <v>22.43013698630137</v>
      </c>
      <c r="S41" s="189">
        <v>20</v>
      </c>
      <c r="T41" s="187">
        <f t="shared" si="9"/>
        <v>0</v>
      </c>
      <c r="U41" s="187">
        <f t="shared" si="10"/>
        <v>1</v>
      </c>
      <c r="V41" s="139">
        <f t="shared" si="11"/>
        <v>236250000</v>
      </c>
      <c r="W41" s="137">
        <f t="shared" si="13"/>
        <v>0.65</v>
      </c>
      <c r="X41" s="140">
        <f t="shared" si="4"/>
        <v>153562500</v>
      </c>
      <c r="Y41" s="191">
        <v>0.67</v>
      </c>
      <c r="Z41" s="192"/>
      <c r="AA41" s="190"/>
      <c r="AB41" s="190"/>
      <c r="AC41" s="193"/>
      <c r="AD41" s="193"/>
      <c r="AE41" s="194">
        <v>158287500</v>
      </c>
    </row>
    <row r="42" spans="1:31" s="118" customFormat="1" ht="27" customHeight="1" thickBot="1">
      <c r="A42" s="142"/>
      <c r="B42" s="143"/>
      <c r="C42" s="144"/>
      <c r="D42" s="145"/>
      <c r="E42" s="150"/>
      <c r="F42" s="111"/>
      <c r="G42" s="112"/>
      <c r="H42" s="113"/>
      <c r="I42" s="112"/>
      <c r="J42" s="128">
        <v>1.1000000000000001</v>
      </c>
      <c r="K42" s="126"/>
      <c r="L42" s="136">
        <f t="shared" si="1"/>
        <v>0</v>
      </c>
      <c r="M42" s="90">
        <f t="shared" si="2"/>
        <v>0</v>
      </c>
      <c r="N42" s="114"/>
      <c r="O42" s="114"/>
      <c r="P42" s="114"/>
      <c r="Q42" s="146"/>
      <c r="R42" s="147"/>
      <c r="S42" s="148"/>
      <c r="T42" s="146"/>
      <c r="U42" s="146"/>
      <c r="V42" s="159"/>
      <c r="W42" s="137">
        <f t="shared" si="3"/>
        <v>0</v>
      </c>
      <c r="X42" s="140">
        <f t="shared" si="4"/>
        <v>0</v>
      </c>
      <c r="Y42" s="162"/>
      <c r="Z42" s="116"/>
      <c r="AA42" s="115"/>
      <c r="AB42" s="115"/>
      <c r="AC42" s="117"/>
      <c r="AD42" s="117"/>
      <c r="AE42" s="164"/>
    </row>
    <row r="43" spans="1:31" s="118" customFormat="1" ht="27" customHeight="1" thickBot="1">
      <c r="A43" s="142">
        <v>1</v>
      </c>
      <c r="B43" s="143"/>
      <c r="C43" s="144"/>
      <c r="D43" s="165" t="s">
        <v>126</v>
      </c>
      <c r="E43" s="160"/>
      <c r="F43" s="111"/>
      <c r="G43" s="112" t="s">
        <v>37</v>
      </c>
      <c r="H43" s="113">
        <v>45000000</v>
      </c>
      <c r="I43" s="202">
        <v>110</v>
      </c>
      <c r="J43" s="128">
        <v>1.1000000000000001</v>
      </c>
      <c r="K43" s="126"/>
      <c r="L43" s="136">
        <f t="shared" si="1"/>
        <v>0</v>
      </c>
      <c r="M43" s="90">
        <f>I43*H43</f>
        <v>4950000000</v>
      </c>
      <c r="N43" s="114">
        <v>37987</v>
      </c>
      <c r="O43" s="53" t="s">
        <v>151</v>
      </c>
      <c r="P43" s="167">
        <v>0.82</v>
      </c>
      <c r="Q43" s="146">
        <v>0.65</v>
      </c>
      <c r="R43" s="147">
        <f t="shared" ref="R43:R50" si="14">(O43-N43)/365</f>
        <v>22.43013698630137</v>
      </c>
      <c r="S43" s="189">
        <v>50</v>
      </c>
      <c r="T43" s="146">
        <f t="shared" ref="T43:T50" si="15">IF((1-R43/S43)&gt;0,1-R43/S43,0)</f>
        <v>0.55139726027397251</v>
      </c>
      <c r="U43" s="146">
        <f t="shared" ref="U43:U50" si="16">1-T43</f>
        <v>0.44860273972602749</v>
      </c>
      <c r="V43" s="159">
        <f t="shared" ref="V43:V50" si="17">U43*M43</f>
        <v>2220583561.643836</v>
      </c>
      <c r="W43" s="137">
        <f t="shared" si="3"/>
        <v>0.60069863013698632</v>
      </c>
      <c r="X43" s="140">
        <f t="shared" si="4"/>
        <v>2973458219.1780825</v>
      </c>
      <c r="Y43" s="167">
        <v>0.69</v>
      </c>
      <c r="Z43" s="116"/>
      <c r="AA43" s="115"/>
      <c r="AB43" s="115"/>
      <c r="AC43" s="117"/>
      <c r="AD43" s="117"/>
      <c r="AE43" s="170">
        <v>3036000000</v>
      </c>
    </row>
    <row r="44" spans="1:31" s="118" customFormat="1" ht="27" customHeight="1" thickBot="1">
      <c r="A44" s="142">
        <v>2</v>
      </c>
      <c r="B44" s="143"/>
      <c r="C44" s="144"/>
      <c r="D44" s="166" t="s">
        <v>127</v>
      </c>
      <c r="E44" s="150"/>
      <c r="F44" s="111"/>
      <c r="G44" s="112" t="s">
        <v>37</v>
      </c>
      <c r="H44" s="113">
        <v>45000000</v>
      </c>
      <c r="I44" s="203">
        <v>85</v>
      </c>
      <c r="J44" s="128">
        <v>1.1000000000000001</v>
      </c>
      <c r="K44" s="126"/>
      <c r="L44" s="136">
        <f t="shared" si="1"/>
        <v>0</v>
      </c>
      <c r="M44" s="90">
        <f t="shared" ref="M44:M50" si="18">I44*H44</f>
        <v>3825000000</v>
      </c>
      <c r="N44" s="114">
        <v>37987</v>
      </c>
      <c r="O44" s="53" t="s">
        <v>151</v>
      </c>
      <c r="P44" s="168">
        <v>0.82</v>
      </c>
      <c r="Q44" s="146">
        <v>0.65</v>
      </c>
      <c r="R44" s="147">
        <f t="shared" si="14"/>
        <v>22.43013698630137</v>
      </c>
      <c r="S44" s="189">
        <v>50</v>
      </c>
      <c r="T44" s="146">
        <f t="shared" si="15"/>
        <v>0.55139726027397251</v>
      </c>
      <c r="U44" s="146">
        <f t="shared" si="16"/>
        <v>0.44860273972602749</v>
      </c>
      <c r="V44" s="159">
        <f t="shared" si="17"/>
        <v>1715905479.4520552</v>
      </c>
      <c r="W44" s="137">
        <f t="shared" si="3"/>
        <v>0.60069863013698632</v>
      </c>
      <c r="X44" s="140">
        <f t="shared" si="4"/>
        <v>2297672260.2739725</v>
      </c>
      <c r="Y44" s="168">
        <v>0.69</v>
      </c>
      <c r="Z44" s="116"/>
      <c r="AA44" s="115"/>
      <c r="AB44" s="115"/>
      <c r="AC44" s="117"/>
      <c r="AD44" s="117"/>
      <c r="AE44" s="171">
        <v>2346000000</v>
      </c>
    </row>
    <row r="45" spans="1:31" s="118" customFormat="1" ht="27" customHeight="1" thickBot="1">
      <c r="A45" s="142">
        <v>3</v>
      </c>
      <c r="B45" s="143"/>
      <c r="C45" s="144"/>
      <c r="D45" s="166" t="s">
        <v>128</v>
      </c>
      <c r="E45" s="160"/>
      <c r="F45" s="111"/>
      <c r="G45" s="112" t="s">
        <v>37</v>
      </c>
      <c r="H45" s="113">
        <v>45000000</v>
      </c>
      <c r="I45" s="203">
        <v>90</v>
      </c>
      <c r="J45" s="128">
        <v>1.1000000000000001</v>
      </c>
      <c r="K45" s="126"/>
      <c r="L45" s="136">
        <f t="shared" si="1"/>
        <v>0</v>
      </c>
      <c r="M45" s="90">
        <f t="shared" si="18"/>
        <v>4050000000</v>
      </c>
      <c r="N45" s="114">
        <v>37987</v>
      </c>
      <c r="O45" s="53" t="s">
        <v>151</v>
      </c>
      <c r="P45" s="168">
        <v>0.82</v>
      </c>
      <c r="Q45" s="146">
        <v>0.65</v>
      </c>
      <c r="R45" s="147">
        <f t="shared" si="14"/>
        <v>22.43013698630137</v>
      </c>
      <c r="S45" s="189">
        <v>50</v>
      </c>
      <c r="T45" s="146">
        <f t="shared" si="15"/>
        <v>0.55139726027397251</v>
      </c>
      <c r="U45" s="146">
        <f t="shared" si="16"/>
        <v>0.44860273972602749</v>
      </c>
      <c r="V45" s="159">
        <f t="shared" si="17"/>
        <v>1816841095.8904114</v>
      </c>
      <c r="W45" s="137">
        <f t="shared" si="3"/>
        <v>0.60069863013698632</v>
      </c>
      <c r="X45" s="140">
        <f t="shared" si="4"/>
        <v>2432829452.0547948</v>
      </c>
      <c r="Y45" s="168">
        <v>0.69</v>
      </c>
      <c r="Z45" s="116"/>
      <c r="AA45" s="115"/>
      <c r="AB45" s="115"/>
      <c r="AC45" s="117"/>
      <c r="AD45" s="117"/>
      <c r="AE45" s="171">
        <v>2484000000</v>
      </c>
    </row>
    <row r="46" spans="1:31" s="118" customFormat="1" ht="27" customHeight="1" thickBot="1">
      <c r="A46" s="142">
        <v>4</v>
      </c>
      <c r="B46" s="143"/>
      <c r="C46" s="144"/>
      <c r="D46" s="166" t="s">
        <v>129</v>
      </c>
      <c r="E46" s="150"/>
      <c r="F46" s="111"/>
      <c r="G46" s="112" t="s">
        <v>37</v>
      </c>
      <c r="H46" s="113">
        <v>45000000</v>
      </c>
      <c r="I46" s="203">
        <v>100</v>
      </c>
      <c r="J46" s="128">
        <v>1.1000000000000001</v>
      </c>
      <c r="K46" s="126"/>
      <c r="L46" s="136">
        <f t="shared" si="1"/>
        <v>0</v>
      </c>
      <c r="M46" s="90">
        <f t="shared" si="18"/>
        <v>4500000000</v>
      </c>
      <c r="N46" s="114">
        <v>37987</v>
      </c>
      <c r="O46" s="53" t="s">
        <v>151</v>
      </c>
      <c r="P46" s="168">
        <v>0.82</v>
      </c>
      <c r="Q46" s="146">
        <v>0.65</v>
      </c>
      <c r="R46" s="147">
        <f t="shared" si="14"/>
        <v>22.43013698630137</v>
      </c>
      <c r="S46" s="189">
        <v>50</v>
      </c>
      <c r="T46" s="146">
        <f t="shared" si="15"/>
        <v>0.55139726027397251</v>
      </c>
      <c r="U46" s="146">
        <f t="shared" si="16"/>
        <v>0.44860273972602749</v>
      </c>
      <c r="V46" s="159">
        <f t="shared" si="17"/>
        <v>2018712328.7671237</v>
      </c>
      <c r="W46" s="137">
        <f t="shared" si="3"/>
        <v>0.60069863013698632</v>
      </c>
      <c r="X46" s="140">
        <f t="shared" si="4"/>
        <v>2703143835.6164384</v>
      </c>
      <c r="Y46" s="168">
        <v>0.8</v>
      </c>
      <c r="Z46" s="116"/>
      <c r="AA46" s="115"/>
      <c r="AB46" s="115"/>
      <c r="AC46" s="117"/>
      <c r="AD46" s="117"/>
      <c r="AE46" s="171">
        <v>3200000000</v>
      </c>
    </row>
    <row r="47" spans="1:31" s="118" customFormat="1" ht="27" customHeight="1" thickBot="1">
      <c r="A47" s="142">
        <v>5</v>
      </c>
      <c r="B47" s="143"/>
      <c r="C47" s="144"/>
      <c r="D47" s="166" t="s">
        <v>130</v>
      </c>
      <c r="E47" s="160"/>
      <c r="F47" s="111"/>
      <c r="G47" s="112" t="s">
        <v>37</v>
      </c>
      <c r="H47" s="113">
        <v>45000000</v>
      </c>
      <c r="I47" s="203">
        <v>90</v>
      </c>
      <c r="J47" s="128">
        <v>1.1000000000000001</v>
      </c>
      <c r="K47" s="126"/>
      <c r="L47" s="136">
        <f t="shared" si="1"/>
        <v>0</v>
      </c>
      <c r="M47" s="90">
        <f t="shared" si="18"/>
        <v>4050000000</v>
      </c>
      <c r="N47" s="114">
        <v>37987</v>
      </c>
      <c r="O47" s="53" t="s">
        <v>151</v>
      </c>
      <c r="P47" s="168">
        <v>0.82</v>
      </c>
      <c r="Q47" s="146">
        <v>0.65</v>
      </c>
      <c r="R47" s="147">
        <f t="shared" si="14"/>
        <v>22.43013698630137</v>
      </c>
      <c r="S47" s="189">
        <v>50</v>
      </c>
      <c r="T47" s="146">
        <f t="shared" si="15"/>
        <v>0.55139726027397251</v>
      </c>
      <c r="U47" s="146">
        <f t="shared" si="16"/>
        <v>0.44860273972602749</v>
      </c>
      <c r="V47" s="159">
        <f t="shared" si="17"/>
        <v>1816841095.8904114</v>
      </c>
      <c r="W47" s="137">
        <f t="shared" si="3"/>
        <v>0.60069863013698632</v>
      </c>
      <c r="X47" s="140">
        <f t="shared" si="4"/>
        <v>2432829452.0547948</v>
      </c>
      <c r="Y47" s="168">
        <v>0.71</v>
      </c>
      <c r="Z47" s="116"/>
      <c r="AA47" s="115"/>
      <c r="AB47" s="115"/>
      <c r="AC47" s="117"/>
      <c r="AD47" s="117"/>
      <c r="AE47" s="171">
        <v>2556000000</v>
      </c>
    </row>
    <row r="48" spans="1:31" s="118" customFormat="1" ht="27" customHeight="1" thickBot="1">
      <c r="A48" s="142">
        <v>6</v>
      </c>
      <c r="B48" s="143"/>
      <c r="C48" s="144"/>
      <c r="D48" s="166" t="s">
        <v>131</v>
      </c>
      <c r="E48" s="150"/>
      <c r="F48" s="111"/>
      <c r="G48" s="112" t="s">
        <v>37</v>
      </c>
      <c r="H48" s="113">
        <v>45000000</v>
      </c>
      <c r="I48" s="203">
        <v>110</v>
      </c>
      <c r="J48" s="128">
        <v>1.1000000000000001</v>
      </c>
      <c r="K48" s="126"/>
      <c r="L48" s="136">
        <f t="shared" si="1"/>
        <v>0</v>
      </c>
      <c r="M48" s="90">
        <f t="shared" si="18"/>
        <v>4950000000</v>
      </c>
      <c r="N48" s="114">
        <v>37987</v>
      </c>
      <c r="O48" s="53" t="s">
        <v>151</v>
      </c>
      <c r="P48" s="168">
        <v>0.82</v>
      </c>
      <c r="Q48" s="146">
        <v>0.65</v>
      </c>
      <c r="R48" s="147">
        <f t="shared" si="14"/>
        <v>22.43013698630137</v>
      </c>
      <c r="S48" s="189">
        <v>50</v>
      </c>
      <c r="T48" s="146">
        <f t="shared" si="15"/>
        <v>0.55139726027397251</v>
      </c>
      <c r="U48" s="146">
        <f t="shared" si="16"/>
        <v>0.44860273972602749</v>
      </c>
      <c r="V48" s="159">
        <f t="shared" si="17"/>
        <v>2220583561.643836</v>
      </c>
      <c r="W48" s="137">
        <f t="shared" si="3"/>
        <v>0.60069863013698632</v>
      </c>
      <c r="X48" s="140">
        <f t="shared" si="4"/>
        <v>2973458219.1780825</v>
      </c>
      <c r="Y48" s="168">
        <v>0.69</v>
      </c>
      <c r="Z48" s="116"/>
      <c r="AA48" s="115"/>
      <c r="AB48" s="115"/>
      <c r="AC48" s="117"/>
      <c r="AD48" s="117"/>
      <c r="AE48" s="171">
        <v>3036000000</v>
      </c>
    </row>
    <row r="49" spans="1:31" s="118" customFormat="1" ht="27" customHeight="1" thickBot="1">
      <c r="A49" s="142">
        <v>7</v>
      </c>
      <c r="B49" s="143"/>
      <c r="C49" s="144"/>
      <c r="D49" s="166" t="s">
        <v>132</v>
      </c>
      <c r="E49" s="160"/>
      <c r="F49" s="111"/>
      <c r="G49" s="112" t="s">
        <v>37</v>
      </c>
      <c r="H49" s="113">
        <v>45000000</v>
      </c>
      <c r="I49" s="203">
        <v>550</v>
      </c>
      <c r="J49" s="128">
        <v>1.1000000000000001</v>
      </c>
      <c r="K49" s="126"/>
      <c r="L49" s="136">
        <f t="shared" si="1"/>
        <v>0</v>
      </c>
      <c r="M49" s="90">
        <f t="shared" si="18"/>
        <v>24750000000</v>
      </c>
      <c r="N49" s="114">
        <v>37987</v>
      </c>
      <c r="O49" s="53" t="s">
        <v>151</v>
      </c>
      <c r="P49" s="168">
        <v>0.82</v>
      </c>
      <c r="Q49" s="146">
        <v>0.65</v>
      </c>
      <c r="R49" s="147">
        <f t="shared" si="14"/>
        <v>22.43013698630137</v>
      </c>
      <c r="S49" s="189">
        <v>50</v>
      </c>
      <c r="T49" s="146">
        <f t="shared" si="15"/>
        <v>0.55139726027397251</v>
      </c>
      <c r="U49" s="146">
        <f t="shared" si="16"/>
        <v>0.44860273972602749</v>
      </c>
      <c r="V49" s="159">
        <f t="shared" si="17"/>
        <v>11102917808.219181</v>
      </c>
      <c r="W49" s="137">
        <f t="shared" si="3"/>
        <v>0.60069863013698632</v>
      </c>
      <c r="X49" s="140">
        <f t="shared" si="4"/>
        <v>14867291095.890411</v>
      </c>
      <c r="Y49" s="168">
        <v>0.8</v>
      </c>
      <c r="Z49" s="116"/>
      <c r="AA49" s="115"/>
      <c r="AB49" s="115"/>
      <c r="AC49" s="117"/>
      <c r="AD49" s="117"/>
      <c r="AE49" s="171">
        <v>17600000000</v>
      </c>
    </row>
    <row r="50" spans="1:31" s="118" customFormat="1" ht="27" customHeight="1" thickBot="1">
      <c r="A50" s="142">
        <v>8</v>
      </c>
      <c r="B50" s="143"/>
      <c r="C50" s="144"/>
      <c r="D50" s="166" t="s">
        <v>133</v>
      </c>
      <c r="E50" s="150"/>
      <c r="F50" s="111"/>
      <c r="G50" s="112" t="s">
        <v>37</v>
      </c>
      <c r="H50" s="113">
        <v>1348900</v>
      </c>
      <c r="I50" s="203">
        <v>450</v>
      </c>
      <c r="J50" s="128">
        <v>1.1000000000000001</v>
      </c>
      <c r="K50" s="126"/>
      <c r="L50" s="136">
        <f t="shared" si="1"/>
        <v>0</v>
      </c>
      <c r="M50" s="90">
        <f t="shared" si="18"/>
        <v>607005000</v>
      </c>
      <c r="N50" s="114">
        <v>37987</v>
      </c>
      <c r="O50" s="53" t="s">
        <v>151</v>
      </c>
      <c r="P50" s="169">
        <v>0.67</v>
      </c>
      <c r="Q50" s="146">
        <v>0.63</v>
      </c>
      <c r="R50" s="147">
        <f t="shared" si="14"/>
        <v>22.43013698630137</v>
      </c>
      <c r="S50" s="189">
        <v>10</v>
      </c>
      <c r="T50" s="146">
        <f t="shared" si="15"/>
        <v>0</v>
      </c>
      <c r="U50" s="146">
        <f t="shared" si="16"/>
        <v>1</v>
      </c>
      <c r="V50" s="159">
        <f t="shared" si="17"/>
        <v>607005000</v>
      </c>
      <c r="W50" s="137">
        <f>Q50</f>
        <v>0.63</v>
      </c>
      <c r="X50" s="140">
        <f t="shared" si="4"/>
        <v>382413150</v>
      </c>
      <c r="Y50" s="169">
        <v>0.67</v>
      </c>
      <c r="Z50" s="116"/>
      <c r="AA50" s="115"/>
      <c r="AB50" s="115"/>
      <c r="AC50" s="117"/>
      <c r="AD50" s="117"/>
      <c r="AE50" s="172">
        <v>406693350</v>
      </c>
    </row>
    <row r="51" spans="1:31" ht="15.6">
      <c r="A51" s="74">
        <v>36</v>
      </c>
      <c r="B51" s="75"/>
      <c r="C51" s="76"/>
      <c r="D51" s="216" t="s">
        <v>22</v>
      </c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156"/>
      <c r="V51" s="156"/>
      <c r="W51" s="156"/>
      <c r="X51" s="28">
        <f>SUM(X9:X50)</f>
        <v>76609219400.596695</v>
      </c>
      <c r="Y51" s="28"/>
      <c r="Z51" s="102"/>
      <c r="AA51" s="25"/>
      <c r="AB51" s="102" t="e">
        <f>SUM(#REF!)</f>
        <v>#REF!</v>
      </c>
      <c r="AC51" s="103"/>
      <c r="AD51" s="103"/>
      <c r="AE51" s="204">
        <f>SUM(AE9:AE50)</f>
        <v>82910559921</v>
      </c>
    </row>
    <row r="52" spans="1:31" s="31" customFormat="1" ht="15.6">
      <c r="A52" s="156">
        <v>37</v>
      </c>
      <c r="B52" s="30"/>
      <c r="C52" s="30"/>
      <c r="D52" s="216" t="s">
        <v>23</v>
      </c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156"/>
      <c r="V52" s="156"/>
      <c r="W52" s="156"/>
      <c r="X52" s="28">
        <f>ROUND(X51,-6)</f>
        <v>76609000000</v>
      </c>
      <c r="Y52" s="28"/>
      <c r="Z52" s="102"/>
      <c r="AA52" s="43">
        <v>30420000</v>
      </c>
      <c r="AB52" s="102"/>
      <c r="AC52" s="30"/>
      <c r="AD52" s="30"/>
      <c r="AE52" s="32"/>
    </row>
    <row r="53" spans="1:31">
      <c r="I53" s="5">
        <v>17535.599999999999</v>
      </c>
      <c r="AE53" s="207">
        <f>X52/AE51</f>
        <v>0.92399568972873491</v>
      </c>
    </row>
    <row r="54" spans="1:31">
      <c r="I54" s="5" t="e">
        <f>I53-#REF!</f>
        <v>#REF!</v>
      </c>
      <c r="Q54" s="6" t="s">
        <v>91</v>
      </c>
      <c r="R54" s="5" t="e">
        <f>#REF!*12</f>
        <v>#REF!</v>
      </c>
      <c r="T54" s="6">
        <v>0.83</v>
      </c>
      <c r="X54" s="38" t="e">
        <f>#REF!+#REF!+#REF!+#REF!+#REF!+#REF!+#REF!</f>
        <v>#REF!</v>
      </c>
      <c r="Y54" s="38"/>
    </row>
    <row r="55" spans="1:31">
      <c r="M55" s="6">
        <f>1/13</f>
        <v>7.6923076923076927E-2</v>
      </c>
      <c r="N55" s="5">
        <f>29.3*0.92</f>
        <v>26.956000000000003</v>
      </c>
      <c r="T55" s="6">
        <f>1500000000*98%</f>
        <v>1470000000</v>
      </c>
      <c r="X55" s="35">
        <v>2000000000</v>
      </c>
      <c r="Y55" s="35"/>
      <c r="Z55" s="36"/>
      <c r="AA55" s="36"/>
      <c r="AB55" s="36"/>
    </row>
    <row r="56" spans="1:31">
      <c r="F56" s="34" t="e">
        <f>X52-#REF!</f>
        <v>#REF!</v>
      </c>
      <c r="G56" s="5">
        <v>0.97499999999999998</v>
      </c>
      <c r="I56" s="5" t="e">
        <f>#REF!*G56</f>
        <v>#REF!</v>
      </c>
      <c r="X56" s="40" t="e">
        <f>X55/X54</f>
        <v>#REF!</v>
      </c>
      <c r="Y56" s="40"/>
    </row>
    <row r="57" spans="1:31">
      <c r="F57" s="34" t="e">
        <f>F56-#REF!-#REF!</f>
        <v>#REF!</v>
      </c>
      <c r="M57" s="35">
        <v>0.98</v>
      </c>
      <c r="R57" s="5" t="e">
        <f>(15-#REF!)/15</f>
        <v>#REF!</v>
      </c>
      <c r="T57" s="6" t="e">
        <f>(#REF!+#REF!)/2</f>
        <v>#REF!</v>
      </c>
      <c r="X57" s="38"/>
      <c r="Y57" s="38"/>
      <c r="Z57" s="39"/>
      <c r="AA57" s="39"/>
      <c r="AB57" s="39"/>
    </row>
    <row r="58" spans="1:31">
      <c r="M58" s="5" t="e">
        <f>#REF!*M57</f>
        <v>#REF!</v>
      </c>
      <c r="S58" s="5">
        <f>100/15*2</f>
        <v>13.333333333333334</v>
      </c>
      <c r="X58" s="6">
        <f>3.5/67.5</f>
        <v>5.185185185185185E-2</v>
      </c>
      <c r="Y58" s="6"/>
    </row>
    <row r="59" spans="1:31">
      <c r="I59" s="5" t="e">
        <f>1463000000/#REF!</f>
        <v>#REF!</v>
      </c>
    </row>
    <row r="61" spans="1:31">
      <c r="O61" s="40">
        <f>1/15</f>
        <v>6.6666666666666666E-2</v>
      </c>
      <c r="P61" s="40"/>
    </row>
    <row r="64" spans="1:31">
      <c r="J64" s="5">
        <v>76</v>
      </c>
    </row>
    <row r="65" spans="9:24">
      <c r="X65" s="5" t="s">
        <v>48</v>
      </c>
    </row>
    <row r="66" spans="9:24">
      <c r="M66" s="110">
        <f>500/82.5</f>
        <v>6.0606060606060606</v>
      </c>
    </row>
    <row r="67" spans="9:24">
      <c r="J67" s="110">
        <v>7611000000</v>
      </c>
      <c r="K67" s="38">
        <f>J67/1.1</f>
        <v>6919090909.090909</v>
      </c>
      <c r="M67" s="38">
        <f>K67/10000</f>
        <v>691909.09090909094</v>
      </c>
    </row>
    <row r="69" spans="9:24">
      <c r="M69" s="5">
        <f>825*270</f>
        <v>222750</v>
      </c>
    </row>
    <row r="72" spans="9:24">
      <c r="K72" s="5">
        <f>21000/825</f>
        <v>25.454545454545453</v>
      </c>
    </row>
    <row r="75" spans="9:24">
      <c r="I75" s="5">
        <f>121.7*19</f>
        <v>2312.3000000000002</v>
      </c>
    </row>
    <row r="76" spans="9:24">
      <c r="R76" s="5">
        <v>19000000000</v>
      </c>
    </row>
    <row r="77" spans="9:24">
      <c r="M77" s="5">
        <v>34000</v>
      </c>
      <c r="R77" s="5">
        <f>0.952*160*8225000*0.7</f>
        <v>876982400</v>
      </c>
    </row>
    <row r="78" spans="9:24">
      <c r="J78" s="5">
        <f>72*49</f>
        <v>3528</v>
      </c>
      <c r="M78" s="5">
        <f>85*57</f>
        <v>4845</v>
      </c>
      <c r="R78" s="5">
        <f>R76-R77</f>
        <v>18123017600</v>
      </c>
    </row>
    <row r="79" spans="9:24">
      <c r="M79" s="5">
        <f>M77/M78</f>
        <v>7.0175438596491224</v>
      </c>
      <c r="R79" s="5">
        <f>R78/80</f>
        <v>226537720</v>
      </c>
    </row>
    <row r="83" spans="13:13">
      <c r="M83" s="5">
        <f>M77/(J78+M78)</f>
        <v>4.0606712050638958</v>
      </c>
    </row>
  </sheetData>
  <mergeCells count="23">
    <mergeCell ref="D52:T52"/>
    <mergeCell ref="O4:O5"/>
    <mergeCell ref="R4:V4"/>
    <mergeCell ref="W4:W5"/>
    <mergeCell ref="X4:X5"/>
    <mergeCell ref="Y4:AE5"/>
    <mergeCell ref="D51:T51"/>
    <mergeCell ref="H4:H5"/>
    <mergeCell ref="I4:I5"/>
    <mergeCell ref="J4:J5"/>
    <mergeCell ref="K4:K5"/>
    <mergeCell ref="M4:M5"/>
    <mergeCell ref="N4:N5"/>
    <mergeCell ref="A1:X1"/>
    <mergeCell ref="A2:X2"/>
    <mergeCell ref="A3:E3"/>
    <mergeCell ref="U3:X3"/>
    <mergeCell ref="A4:A5"/>
    <mergeCell ref="B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Đất</vt:lpstr>
      <vt:lpstr>Sheet3</vt:lpstr>
      <vt:lpstr>Sheet1 (2)</vt:lpstr>
      <vt:lpstr>Sheet2</vt:lpstr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2025-04-23T04:01:33Z</dcterms:created>
  <dcterms:modified xsi:type="dcterms:W3CDTF">2026-07-24T02:13:56Z</dcterms:modified>
</cp:coreProperties>
</file>