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Objects="none"/>
  <mc:AlternateContent xmlns:mc="http://schemas.openxmlformats.org/markup-compatibility/2006">
    <mc:Choice Requires="x15">
      <x15ac:absPath xmlns:x15ac="http://schemas.microsoft.com/office/spreadsheetml/2010/11/ac" url="D:\Hoa Sen\2026\01 phát hành\Tái thẩm solar\PA 2025\"/>
    </mc:Choice>
  </mc:AlternateContent>
  <xr:revisionPtr revIDLastSave="0" documentId="13_ncr:1_{09D25A36-B3E3-4CAA-9B75-B82D31378D05}" xr6:coauthVersionLast="36" xr6:coauthVersionMax="47" xr10:uidLastSave="{00000000-0000-0000-0000-000000000000}"/>
  <bookViews>
    <workbookView xWindow="-110" yWindow="-110" windowWidth="25820" windowHeight="13900" tabRatio="815" firstSheet="5" activeTab="5" xr2:uid="{00000000-000D-0000-FFFF-FFFF00000000}"/>
  </bookViews>
  <sheets>
    <sheet name="foxz" sheetId="10" state="veryHidden" r:id="rId1"/>
    <sheet name="TTCB" sheetId="31" state="hidden" r:id="rId2"/>
    <sheet name="HSTĐG" sheetId="28" state="hidden" r:id="rId3"/>
    <sheet name="KHTĐG" sheetId="29" state="hidden" r:id="rId4"/>
    <sheet name="Thông tin TSTĐ" sheetId="25" state="hidden" r:id="rId5"/>
    <sheet name="THKQ" sheetId="52" r:id="rId6"/>
    <sheet name="Đc đơn giá" sheetId="53" r:id="rId7"/>
    <sheet name="Sheet1" sheetId="54" r:id="rId8"/>
    <sheet name="TSSS " sheetId="20" r:id="rId9"/>
    <sheet name="BĐC " sheetId="21" r:id="rId10"/>
    <sheet name="BĐC  (2)" sheetId="51" state="hidden" r:id="rId11"/>
    <sheet name="TH GTTS" sheetId="40" r:id="rId12"/>
    <sheet name="Đọc tiền" sheetId="32" state="hidden" r:id="rId13"/>
    <sheet name="TSSS1" sheetId="45" r:id="rId14"/>
    <sheet name="TSSS2" sheetId="48" r:id="rId15"/>
    <sheet name="TSSS3" sheetId="49" r:id="rId16"/>
    <sheet name="Nhà ở" sheetId="38" r:id="rId17"/>
  </sheets>
  <externalReferences>
    <externalReference r:id="rId18"/>
    <externalReference r:id="rId19"/>
  </externalReferences>
  <definedNames>
    <definedName name="_xlnm._FilterDatabase" localSheetId="9" hidden="1">'BĐC '!$A$1:$G$73</definedName>
    <definedName name="_xlnm._FilterDatabase" localSheetId="10" hidden="1">'BĐC  (2)'!$A$1:$G$73</definedName>
    <definedName name="_xlnm._FilterDatabase" localSheetId="6" hidden="1">'Đc đơn giá'!$A$1:$Z$14</definedName>
    <definedName name="_xlnm.Print_Area" localSheetId="2">HSTĐG!$A$1:$H$27</definedName>
    <definedName name="_xlnm.Print_Area" localSheetId="3">KHTĐG!$A$1:$D$42</definedName>
    <definedName name="_xlnm.Print_Area" localSheetId="8">'TSSS '!$A$1:$G$65</definedName>
    <definedName name="_xlnm.Print_Area" localSheetId="13">TSSS1!$A$1:$C$41</definedName>
    <definedName name="_xlnm.Print_Area" localSheetId="14">TSSS2!$A$1:$C$40</definedName>
    <definedName name="_xlnm.Print_Area" localSheetId="15">TSSS3!$A$1:$C$41</definedName>
    <definedName name="_xlnm.Print_Area" localSheetId="11">'TH GTTS'!$A$1:$G$6</definedName>
    <definedName name="_xlnm.Print_Area" localSheetId="4">'Thông tin TSTĐ'!$A$1:$E$44</definedName>
    <definedName name="TTTSSS" localSheetId="16">'[1]TT TSSS'!$A$3:$L$27</definedName>
    <definedName name="TTTSSS">'[2]TT TSSS'!$A$3:$L$27</definedName>
  </definedNames>
  <calcPr calcId="179021"/>
</workbook>
</file>

<file path=xl/calcChain.xml><?xml version="1.0" encoding="utf-8"?>
<calcChain xmlns="http://schemas.openxmlformats.org/spreadsheetml/2006/main">
  <c r="E32" i="52" l="1"/>
  <c r="G8" i="54" l="1"/>
  <c r="G10" i="54" s="1"/>
  <c r="F8" i="54"/>
  <c r="F10" i="54" s="1"/>
  <c r="E8" i="54"/>
  <c r="E10" i="54" s="1"/>
  <c r="D8" i="54"/>
  <c r="D10" i="54" s="1"/>
  <c r="D4" i="54"/>
  <c r="C4" i="54"/>
  <c r="G2" i="54"/>
  <c r="F2" i="54"/>
  <c r="E2" i="54"/>
  <c r="D2" i="54"/>
  <c r="C2" i="54"/>
  <c r="F78" i="20" l="1"/>
  <c r="F77" i="20"/>
  <c r="F76" i="20"/>
  <c r="F75" i="20"/>
  <c r="O7" i="53" l="1"/>
  <c r="G29" i="21" l="1"/>
  <c r="G43" i="20" l="1"/>
  <c r="F43" i="20"/>
  <c r="E43" i="20"/>
  <c r="A4" i="53"/>
  <c r="A5" i="53" s="1"/>
  <c r="A6" i="53" s="1"/>
  <c r="A7" i="53" s="1"/>
  <c r="A8" i="53" s="1"/>
  <c r="A9" i="53" s="1"/>
  <c r="A10" i="53" s="1"/>
  <c r="A11" i="53" s="1"/>
  <c r="A3" i="53"/>
  <c r="G34" i="52"/>
  <c r="D7" i="52"/>
  <c r="D10" i="52" s="1"/>
  <c r="D13" i="52" s="1"/>
  <c r="D16" i="52" s="1"/>
  <c r="D22" i="52"/>
  <c r="D25" i="52" s="1"/>
  <c r="D28" i="52" s="1"/>
  <c r="D31" i="52" s="1"/>
  <c r="M6" i="53"/>
  <c r="M5" i="53"/>
  <c r="M4" i="53"/>
  <c r="M3" i="53"/>
  <c r="M11" i="53"/>
  <c r="M10" i="53"/>
  <c r="M9" i="53"/>
  <c r="M8" i="53"/>
  <c r="M7" i="53"/>
  <c r="D45" i="21"/>
  <c r="D25" i="21"/>
  <c r="E7" i="53"/>
  <c r="E6" i="53"/>
  <c r="D29" i="21"/>
  <c r="F42" i="20"/>
  <c r="F27" i="20"/>
  <c r="F41" i="20" s="1"/>
  <c r="E42" i="20"/>
  <c r="D27" i="20" l="1"/>
  <c r="D28" i="20"/>
  <c r="D29" i="20"/>
  <c r="D30" i="20"/>
  <c r="E16" i="52"/>
  <c r="G16" i="52" s="1"/>
  <c r="E13" i="52"/>
  <c r="G13" i="52" s="1"/>
  <c r="E10" i="52"/>
  <c r="G10" i="52" s="1"/>
  <c r="E7" i="52"/>
  <c r="G7" i="52" s="1"/>
  <c r="E31" i="52"/>
  <c r="G31" i="52" s="1"/>
  <c r="E28" i="52"/>
  <c r="G28" i="52" s="1"/>
  <c r="E25" i="52"/>
  <c r="G25" i="52" s="1"/>
  <c r="E22" i="52"/>
  <c r="G22" i="52" s="1"/>
  <c r="E19" i="52"/>
  <c r="G19" i="52" s="1"/>
  <c r="E4" i="52"/>
  <c r="G4" i="52" s="1"/>
  <c r="F29" i="21" l="1"/>
  <c r="D61" i="21"/>
  <c r="E29" i="21"/>
  <c r="G27" i="20" l="1"/>
  <c r="F44" i="20"/>
  <c r="F49" i="20" s="1"/>
  <c r="F50" i="20" s="1"/>
  <c r="C4" i="40"/>
  <c r="H4" i="40" s="1"/>
  <c r="E57" i="21"/>
  <c r="F57" i="21"/>
  <c r="G57" i="21"/>
  <c r="D57" i="21"/>
  <c r="C29" i="20"/>
  <c r="C27" i="20"/>
  <c r="G41" i="20" l="1"/>
  <c r="G44" i="20" s="1"/>
  <c r="G49" i="20" s="1"/>
  <c r="G50" i="20" s="1"/>
  <c r="F4" i="40"/>
  <c r="I28" i="20"/>
  <c r="H30" i="20"/>
  <c r="I30" i="20" s="1"/>
  <c r="F47" i="20" l="1"/>
  <c r="E47" i="20"/>
  <c r="H83" i="21" l="1"/>
  <c r="H82" i="21"/>
  <c r="D5" i="40" l="1"/>
  <c r="C10" i="40" l="1"/>
  <c r="D10" i="40" s="1"/>
  <c r="C11" i="40"/>
  <c r="B11" i="40"/>
  <c r="B10" i="40"/>
  <c r="C5" i="40"/>
  <c r="G38" i="20"/>
  <c r="D11" i="40" l="1"/>
  <c r="D12" i="40" s="1"/>
  <c r="D13" i="40" s="1"/>
  <c r="F10" i="40"/>
  <c r="H6" i="40" l="1"/>
  <c r="H9" i="40" s="1"/>
  <c r="H10" i="40" l="1"/>
  <c r="F11" i="40"/>
  <c r="F12" i="40" s="1"/>
  <c r="F16" i="40"/>
  <c r="F17" i="40" s="1"/>
  <c r="G33" i="21" l="1"/>
  <c r="E49" i="21" l="1"/>
  <c r="F49" i="21"/>
  <c r="G49" i="21"/>
  <c r="B49" i="21"/>
  <c r="D49" i="21"/>
  <c r="E27" i="20"/>
  <c r="E41" i="20" s="1"/>
  <c r="E44" i="20" s="1"/>
  <c r="E49" i="20" s="1"/>
  <c r="E50" i="20" s="1"/>
  <c r="G46" i="20" l="1"/>
  <c r="C40" i="48"/>
  <c r="C41" i="49" s="1"/>
  <c r="C7" i="31"/>
  <c r="F7" i="25"/>
  <c r="F87" i="21"/>
  <c r="G25" i="21" l="1"/>
  <c r="F82" i="51"/>
  <c r="F81" i="51"/>
  <c r="F80" i="51"/>
  <c r="K64" i="51"/>
  <c r="J64" i="51"/>
  <c r="I64" i="51"/>
  <c r="K63" i="51"/>
  <c r="J63" i="51"/>
  <c r="I63" i="51"/>
  <c r="K62" i="51"/>
  <c r="J62" i="51"/>
  <c r="I62" i="51"/>
  <c r="G61" i="51"/>
  <c r="F61" i="51"/>
  <c r="E61" i="51"/>
  <c r="D61" i="51"/>
  <c r="B61" i="51"/>
  <c r="K60" i="51"/>
  <c r="J60" i="51"/>
  <c r="I60" i="51"/>
  <c r="K59" i="51"/>
  <c r="J59" i="51"/>
  <c r="I59" i="51"/>
  <c r="K58" i="51"/>
  <c r="J58" i="51"/>
  <c r="I58" i="51"/>
  <c r="G57" i="51"/>
  <c r="F57" i="51"/>
  <c r="E57" i="51"/>
  <c r="D57" i="51"/>
  <c r="B57" i="51"/>
  <c r="K56" i="51"/>
  <c r="J56" i="51"/>
  <c r="I56" i="51"/>
  <c r="K55" i="51"/>
  <c r="J55" i="51"/>
  <c r="I55" i="51"/>
  <c r="K54" i="51"/>
  <c r="J54" i="51"/>
  <c r="I54" i="51"/>
  <c r="G53" i="51"/>
  <c r="F53" i="51"/>
  <c r="E53" i="51"/>
  <c r="D53" i="51"/>
  <c r="B53" i="51"/>
  <c r="K52" i="51"/>
  <c r="J52" i="51"/>
  <c r="I52" i="51"/>
  <c r="K51" i="51"/>
  <c r="J51" i="51"/>
  <c r="I51" i="51"/>
  <c r="K50" i="51"/>
  <c r="J50" i="51"/>
  <c r="I50" i="51"/>
  <c r="G49" i="51"/>
  <c r="F49" i="51"/>
  <c r="E49" i="51"/>
  <c r="D49" i="51"/>
  <c r="B49" i="51"/>
  <c r="K48" i="51"/>
  <c r="J48" i="51"/>
  <c r="I48" i="51"/>
  <c r="K47" i="51"/>
  <c r="J47" i="51"/>
  <c r="I47" i="51"/>
  <c r="K46" i="51"/>
  <c r="J46" i="51"/>
  <c r="I46" i="51"/>
  <c r="G45" i="51"/>
  <c r="F45" i="51"/>
  <c r="E45" i="51"/>
  <c r="B45" i="51"/>
  <c r="K44" i="51"/>
  <c r="J44" i="51"/>
  <c r="I44" i="51"/>
  <c r="K43" i="51"/>
  <c r="J43" i="51"/>
  <c r="I43" i="51"/>
  <c r="K42" i="51"/>
  <c r="J42" i="51"/>
  <c r="I42" i="51"/>
  <c r="G41" i="51"/>
  <c r="F41" i="51"/>
  <c r="E41" i="51"/>
  <c r="B41" i="51"/>
  <c r="K40" i="51"/>
  <c r="J40" i="51"/>
  <c r="I40" i="51"/>
  <c r="K39" i="51"/>
  <c r="J39" i="51"/>
  <c r="I39" i="51"/>
  <c r="K38" i="51"/>
  <c r="J38" i="51"/>
  <c r="I38" i="51"/>
  <c r="G37" i="51"/>
  <c r="F37" i="51"/>
  <c r="E37" i="51"/>
  <c r="B37" i="51"/>
  <c r="K36" i="51"/>
  <c r="J36" i="51"/>
  <c r="I36" i="51"/>
  <c r="K35" i="51"/>
  <c r="J35" i="51"/>
  <c r="I35" i="51"/>
  <c r="K34" i="51"/>
  <c r="J34" i="51"/>
  <c r="I34" i="51"/>
  <c r="G33" i="51"/>
  <c r="F33" i="51"/>
  <c r="E33" i="51"/>
  <c r="B33" i="51"/>
  <c r="K32" i="51"/>
  <c r="J32" i="51"/>
  <c r="I32" i="51"/>
  <c r="K31" i="51"/>
  <c r="J31" i="51"/>
  <c r="I31" i="51"/>
  <c r="K30" i="51"/>
  <c r="J30" i="51"/>
  <c r="I30" i="51"/>
  <c r="G29" i="51"/>
  <c r="F29" i="51"/>
  <c r="E29" i="51"/>
  <c r="B29" i="51"/>
  <c r="K28" i="51"/>
  <c r="J28" i="51"/>
  <c r="I28" i="51"/>
  <c r="K27" i="51"/>
  <c r="J27" i="51"/>
  <c r="I27" i="51"/>
  <c r="K26" i="51"/>
  <c r="J26" i="51"/>
  <c r="I26" i="51"/>
  <c r="G25" i="51"/>
  <c r="F25" i="51"/>
  <c r="B25" i="51"/>
  <c r="K24" i="51"/>
  <c r="J24" i="51"/>
  <c r="I24" i="51"/>
  <c r="K23" i="51"/>
  <c r="J23" i="51"/>
  <c r="I23" i="51"/>
  <c r="K22" i="51"/>
  <c r="J22" i="51"/>
  <c r="I22" i="51"/>
  <c r="G21" i="51"/>
  <c r="F21" i="51"/>
  <c r="E21" i="51"/>
  <c r="B21" i="51"/>
  <c r="K20" i="51"/>
  <c r="J20" i="51"/>
  <c r="I20" i="51"/>
  <c r="K19" i="51"/>
  <c r="J19" i="51"/>
  <c r="I19" i="51"/>
  <c r="K18" i="51"/>
  <c r="J18" i="51"/>
  <c r="I18" i="51"/>
  <c r="G17" i="51"/>
  <c r="F17" i="51"/>
  <c r="E17" i="51"/>
  <c r="D17" i="51"/>
  <c r="B17" i="51"/>
  <c r="K16" i="51"/>
  <c r="J16" i="51"/>
  <c r="I16" i="51"/>
  <c r="K15" i="51"/>
  <c r="J15" i="51"/>
  <c r="I15" i="51"/>
  <c r="K14" i="51"/>
  <c r="J14" i="51"/>
  <c r="I14" i="51"/>
  <c r="G13" i="51"/>
  <c r="F13" i="51"/>
  <c r="E13" i="51"/>
  <c r="D13" i="51"/>
  <c r="B13" i="51"/>
  <c r="K12" i="51"/>
  <c r="J12" i="51"/>
  <c r="I12" i="51"/>
  <c r="K11" i="51"/>
  <c r="J11" i="51"/>
  <c r="I11" i="51"/>
  <c r="K10" i="51"/>
  <c r="J10" i="51"/>
  <c r="I10" i="51"/>
  <c r="G9" i="51"/>
  <c r="F9" i="51"/>
  <c r="E9" i="51"/>
  <c r="D9" i="51"/>
  <c r="K8" i="51"/>
  <c r="K72" i="51" s="1"/>
  <c r="G73" i="51" s="1"/>
  <c r="J8" i="51"/>
  <c r="I8" i="51"/>
  <c r="K7" i="51"/>
  <c r="K73" i="51" s="1"/>
  <c r="G74" i="51" s="1"/>
  <c r="J7" i="51"/>
  <c r="I7" i="51"/>
  <c r="K6" i="51"/>
  <c r="J6" i="51"/>
  <c r="I6" i="51"/>
  <c r="G5" i="51"/>
  <c r="F5" i="51"/>
  <c r="E5" i="51"/>
  <c r="D5" i="51"/>
  <c r="B5" i="51"/>
  <c r="G1" i="51"/>
  <c r="F1" i="51"/>
  <c r="E1" i="51"/>
  <c r="D1" i="51"/>
  <c r="E27" i="25"/>
  <c r="D25" i="51" s="1"/>
  <c r="C33" i="25"/>
  <c r="D41" i="51"/>
  <c r="J73" i="51" l="1"/>
  <c r="F74" i="51" s="1"/>
  <c r="I73" i="51"/>
  <c r="E74" i="51" s="1"/>
  <c r="K71" i="51"/>
  <c r="G70" i="51" s="1"/>
  <c r="I71" i="51"/>
  <c r="E70" i="51" s="1"/>
  <c r="I72" i="51"/>
  <c r="E73" i="51" s="1"/>
  <c r="E71" i="51" s="1"/>
  <c r="J71" i="51"/>
  <c r="F70" i="51" s="1"/>
  <c r="J72" i="51"/>
  <c r="F73" i="51" s="1"/>
  <c r="F71" i="51" s="1"/>
  <c r="G71" i="51"/>
  <c r="F60" i="20"/>
  <c r="G60" i="20"/>
  <c r="E60" i="20"/>
  <c r="F57" i="20"/>
  <c r="G57" i="20"/>
  <c r="E57" i="20"/>
  <c r="F65" i="20"/>
  <c r="G65" i="20"/>
  <c r="F63" i="20"/>
  <c r="G63" i="20"/>
  <c r="E63" i="20"/>
  <c r="F62" i="20"/>
  <c r="G62" i="20"/>
  <c r="E62" i="20"/>
  <c r="F61" i="20"/>
  <c r="G61" i="20"/>
  <c r="E61" i="20"/>
  <c r="F59" i="20"/>
  <c r="G59" i="20"/>
  <c r="E59" i="20"/>
  <c r="F58" i="20"/>
  <c r="G58" i="20"/>
  <c r="E58" i="20"/>
  <c r="F56" i="20"/>
  <c r="G56" i="20"/>
  <c r="E56" i="20"/>
  <c r="F55" i="20"/>
  <c r="G55" i="20"/>
  <c r="E55" i="20"/>
  <c r="E52" i="20"/>
  <c r="A8" i="25"/>
  <c r="D33" i="51"/>
  <c r="F5" i="40" l="1"/>
  <c r="E2" i="51"/>
  <c r="C25" i="25"/>
  <c r="J51" i="21"/>
  <c r="J52" i="21"/>
  <c r="I52" i="21"/>
  <c r="K64" i="21"/>
  <c r="J64" i="21"/>
  <c r="I64" i="21"/>
  <c r="K60" i="21"/>
  <c r="J60" i="21"/>
  <c r="I60" i="21"/>
  <c r="K56" i="21"/>
  <c r="J56" i="21"/>
  <c r="I56" i="21"/>
  <c r="K52" i="21"/>
  <c r="K48" i="21"/>
  <c r="J48" i="21"/>
  <c r="I48" i="21"/>
  <c r="K44" i="21"/>
  <c r="J44" i="21"/>
  <c r="I44" i="21"/>
  <c r="K40" i="21"/>
  <c r="J40" i="21"/>
  <c r="I40" i="21"/>
  <c r="K36" i="21"/>
  <c r="J36" i="21"/>
  <c r="I36" i="21"/>
  <c r="K32" i="21"/>
  <c r="J32" i="21"/>
  <c r="I32" i="21"/>
  <c r="K28" i="21"/>
  <c r="J28" i="21"/>
  <c r="I28" i="21"/>
  <c r="K24" i="21"/>
  <c r="J24" i="21"/>
  <c r="I24" i="21"/>
  <c r="K20" i="21"/>
  <c r="J20" i="21"/>
  <c r="I20" i="21"/>
  <c r="K16" i="21"/>
  <c r="J16" i="21"/>
  <c r="I16" i="21"/>
  <c r="K12" i="21"/>
  <c r="J12" i="21"/>
  <c r="I12" i="21"/>
  <c r="J8" i="21"/>
  <c r="K8" i="21"/>
  <c r="I8" i="21"/>
  <c r="K55" i="21"/>
  <c r="J55" i="21"/>
  <c r="I55" i="21"/>
  <c r="K54" i="21"/>
  <c r="J54" i="21"/>
  <c r="I54" i="21"/>
  <c r="K39" i="21"/>
  <c r="J39" i="21"/>
  <c r="I39" i="21"/>
  <c r="K38" i="21"/>
  <c r="J38" i="21"/>
  <c r="I38" i="21"/>
  <c r="K63" i="21"/>
  <c r="J63" i="21"/>
  <c r="I63" i="21"/>
  <c r="K62" i="21"/>
  <c r="J62" i="21"/>
  <c r="I62" i="21"/>
  <c r="K59" i="21"/>
  <c r="J59" i="21"/>
  <c r="I59" i="21"/>
  <c r="K58" i="21"/>
  <c r="J58" i="21"/>
  <c r="I58" i="21"/>
  <c r="K51" i="21"/>
  <c r="I51" i="21"/>
  <c r="K50" i="21"/>
  <c r="J50" i="21"/>
  <c r="I50" i="21"/>
  <c r="K47" i="21"/>
  <c r="J47" i="21"/>
  <c r="I47" i="21"/>
  <c r="K46" i="21"/>
  <c r="J46" i="21"/>
  <c r="I46" i="21"/>
  <c r="K43" i="21"/>
  <c r="J43" i="21"/>
  <c r="I43" i="21"/>
  <c r="K42" i="21"/>
  <c r="J42" i="21"/>
  <c r="I42" i="21"/>
  <c r="K35" i="21"/>
  <c r="J35" i="21"/>
  <c r="I35" i="21"/>
  <c r="K34" i="21"/>
  <c r="J34" i="21"/>
  <c r="I34" i="21"/>
  <c r="K31" i="21"/>
  <c r="J31" i="21"/>
  <c r="I31" i="21"/>
  <c r="K30" i="21"/>
  <c r="J30" i="21"/>
  <c r="I30" i="21"/>
  <c r="K27" i="21"/>
  <c r="J27" i="21"/>
  <c r="I27" i="21"/>
  <c r="K26" i="21"/>
  <c r="J26" i="21"/>
  <c r="I26" i="21"/>
  <c r="K23" i="21"/>
  <c r="J23" i="21"/>
  <c r="I23" i="21"/>
  <c r="K22" i="21"/>
  <c r="J22" i="21"/>
  <c r="I22" i="21"/>
  <c r="K19" i="21"/>
  <c r="J19" i="21"/>
  <c r="I19" i="21"/>
  <c r="K18" i="21"/>
  <c r="J18" i="21"/>
  <c r="I18" i="21"/>
  <c r="K15" i="21"/>
  <c r="J15" i="21"/>
  <c r="I15" i="21"/>
  <c r="K14" i="21"/>
  <c r="J14" i="21"/>
  <c r="I14" i="21"/>
  <c r="K11" i="21"/>
  <c r="J11" i="21"/>
  <c r="I11" i="21"/>
  <c r="K10" i="21"/>
  <c r="J10" i="21"/>
  <c r="I10" i="21"/>
  <c r="I6" i="21"/>
  <c r="I7" i="21"/>
  <c r="F27" i="25"/>
  <c r="E25" i="51" s="1"/>
  <c r="I72" i="21" l="1"/>
  <c r="I71" i="21"/>
  <c r="E70" i="21" s="1"/>
  <c r="I73" i="21"/>
  <c r="E74" i="21" s="1"/>
  <c r="J72" i="21"/>
  <c r="K72" i="21"/>
  <c r="B40" i="29"/>
  <c r="B18" i="29" l="1"/>
  <c r="B19" i="29" l="1"/>
  <c r="B17" i="29"/>
  <c r="B11" i="29"/>
  <c r="A13" i="49"/>
  <c r="A14" i="49" s="1"/>
  <c r="A15" i="49" s="1"/>
  <c r="A16" i="49" s="1"/>
  <c r="A17" i="49" s="1"/>
  <c r="A18" i="49" s="1"/>
  <c r="A19" i="49" s="1"/>
  <c r="A20" i="49" s="1"/>
  <c r="A21" i="49" s="1"/>
  <c r="A22" i="49" s="1"/>
  <c r="A23" i="49" s="1"/>
  <c r="A24" i="49" s="1"/>
  <c r="A25" i="49" s="1"/>
  <c r="A26" i="49" s="1"/>
  <c r="A27" i="49" s="1"/>
  <c r="A28" i="49" s="1"/>
  <c r="A29" i="49" s="1"/>
  <c r="A30" i="49" s="1"/>
  <c r="A31" i="49" s="1"/>
  <c r="A13" i="48"/>
  <c r="A14" i="48" s="1"/>
  <c r="A15" i="48" s="1"/>
  <c r="A16" i="48" s="1"/>
  <c r="A17" i="48" s="1"/>
  <c r="A18" i="48" s="1"/>
  <c r="A19" i="48" s="1"/>
  <c r="A20" i="48" s="1"/>
  <c r="A21" i="48" s="1"/>
  <c r="A22" i="48" s="1"/>
  <c r="A23" i="48" s="1"/>
  <c r="A24" i="48" s="1"/>
  <c r="A25" i="48" s="1"/>
  <c r="A26" i="48" s="1"/>
  <c r="A27" i="48" s="1"/>
  <c r="A28" i="48" s="1"/>
  <c r="A29" i="48" s="1"/>
  <c r="A30" i="48" s="1"/>
  <c r="A31" i="48" s="1"/>
  <c r="A13" i="45"/>
  <c r="A14" i="45" s="1"/>
  <c r="A15" i="45" s="1"/>
  <c r="A16" i="45" s="1"/>
  <c r="A17" i="45" s="1"/>
  <c r="A18" i="45" s="1"/>
  <c r="A19" i="45" s="1"/>
  <c r="A20" i="45" s="1"/>
  <c r="A21" i="45" s="1"/>
  <c r="A22" i="45" s="1"/>
  <c r="A23" i="45" s="1"/>
  <c r="A24" i="45" s="1"/>
  <c r="A25" i="45" s="1"/>
  <c r="A26" i="45" s="1"/>
  <c r="A27" i="45" s="1"/>
  <c r="A28" i="45" s="1"/>
  <c r="A29" i="45" s="1"/>
  <c r="A30" i="45" s="1"/>
  <c r="A31" i="45" s="1"/>
  <c r="C31" i="49"/>
  <c r="C30" i="49"/>
  <c r="C29" i="49"/>
  <c r="C28" i="49"/>
  <c r="C27" i="49"/>
  <c r="C26" i="49"/>
  <c r="C25" i="49"/>
  <c r="C24" i="49"/>
  <c r="C23" i="49"/>
  <c r="C22" i="49"/>
  <c r="C21" i="49"/>
  <c r="C20" i="49"/>
  <c r="C19" i="49"/>
  <c r="C18" i="49"/>
  <c r="C17" i="49"/>
  <c r="C16" i="49"/>
  <c r="C15" i="49"/>
  <c r="C12" i="49"/>
  <c r="C31" i="48"/>
  <c r="C30" i="48"/>
  <c r="C29" i="48"/>
  <c r="C28" i="48"/>
  <c r="C27" i="48"/>
  <c r="C26" i="48"/>
  <c r="C25" i="48"/>
  <c r="C24" i="48"/>
  <c r="C23" i="48"/>
  <c r="C22" i="48"/>
  <c r="C21" i="48"/>
  <c r="C20" i="48"/>
  <c r="C19" i="48"/>
  <c r="C18" i="48"/>
  <c r="C17" i="48"/>
  <c r="C16" i="48"/>
  <c r="C15" i="48"/>
  <c r="C12" i="48"/>
  <c r="C12" i="45"/>
  <c r="E1" i="21"/>
  <c r="F1" i="21"/>
  <c r="G1" i="21"/>
  <c r="D1" i="21"/>
  <c r="J7" i="21"/>
  <c r="J73" i="21" s="1"/>
  <c r="F74" i="21" s="1"/>
  <c r="K7" i="21"/>
  <c r="J6" i="21"/>
  <c r="J71" i="21" s="1"/>
  <c r="F70" i="21" s="1"/>
  <c r="K6" i="21"/>
  <c r="K71" i="21" s="1"/>
  <c r="G70" i="21" s="1"/>
  <c r="G73" i="21" l="1"/>
  <c r="K73" i="21"/>
  <c r="G74" i="21" s="1"/>
  <c r="E73" i="21"/>
  <c r="E71" i="21" s="1"/>
  <c r="F73" i="21"/>
  <c r="F71" i="21" s="1"/>
  <c r="B29" i="21"/>
  <c r="C13" i="49"/>
  <c r="C13" i="48"/>
  <c r="C13" i="45"/>
  <c r="C15" i="28"/>
  <c r="B20" i="29"/>
  <c r="C1" i="31"/>
  <c r="C15" i="45"/>
  <c r="C16" i="45"/>
  <c r="C17" i="45"/>
  <c r="C18" i="45"/>
  <c r="C19" i="45"/>
  <c r="C20" i="45"/>
  <c r="C21" i="45"/>
  <c r="C22" i="45"/>
  <c r="C23" i="45"/>
  <c r="C24" i="45"/>
  <c r="C25" i="45"/>
  <c r="C26" i="45"/>
  <c r="C27" i="45"/>
  <c r="C28" i="45"/>
  <c r="C29" i="45"/>
  <c r="C30" i="45"/>
  <c r="C31" i="45"/>
  <c r="D34" i="29"/>
  <c r="D40" i="29"/>
  <c r="D35" i="29"/>
  <c r="C6" i="31"/>
  <c r="B16" i="29" s="1"/>
  <c r="C14" i="28"/>
  <c r="G71" i="21" l="1"/>
  <c r="C35" i="48"/>
  <c r="C35" i="45"/>
  <c r="C14" i="49"/>
  <c r="C14" i="45"/>
  <c r="C14" i="48"/>
  <c r="C35" i="49"/>
  <c r="F61" i="21" l="1"/>
  <c r="D37" i="51"/>
  <c r="D21" i="51"/>
  <c r="D29" i="51" l="1"/>
  <c r="K29" i="51" s="1"/>
  <c r="K25" i="51" s="1"/>
  <c r="B63" i="20"/>
  <c r="E66" i="20"/>
  <c r="F66" i="20"/>
  <c r="G66" i="20"/>
  <c r="E65" i="20"/>
  <c r="E64" i="20"/>
  <c r="F64" i="20"/>
  <c r="G64" i="20"/>
  <c r="G54" i="20"/>
  <c r="F54" i="20"/>
  <c r="E54" i="20"/>
  <c r="G53" i="20"/>
  <c r="F53" i="20"/>
  <c r="E53" i="20"/>
  <c r="G52" i="20"/>
  <c r="F52" i="20"/>
  <c r="B53" i="20"/>
  <c r="J29" i="51" l="1"/>
  <c r="J25" i="51" s="1"/>
  <c r="I29" i="51"/>
  <c r="I25" i="51" s="1"/>
  <c r="E61" i="21"/>
  <c r="G61" i="21"/>
  <c r="B61" i="21"/>
  <c r="B66" i="20" s="1"/>
  <c r="B57" i="21"/>
  <c r="B65" i="20" s="1"/>
  <c r="E53" i="21"/>
  <c r="F53" i="21"/>
  <c r="G53" i="21"/>
  <c r="D53" i="21"/>
  <c r="G45" i="21"/>
  <c r="F45" i="21"/>
  <c r="E45" i="21"/>
  <c r="G41" i="21"/>
  <c r="E41" i="21"/>
  <c r="F41" i="21"/>
  <c r="D41" i="21"/>
  <c r="E37" i="21"/>
  <c r="F37" i="21"/>
  <c r="G37" i="21"/>
  <c r="D37" i="21"/>
  <c r="F33" i="21"/>
  <c r="E33" i="21"/>
  <c r="B53" i="21"/>
  <c r="B64" i="20" s="1"/>
  <c r="B45" i="21"/>
  <c r="B62" i="20" s="1"/>
  <c r="B41" i="21"/>
  <c r="B61" i="20" s="1"/>
  <c r="B37" i="21"/>
  <c r="B33" i="21"/>
  <c r="B58" i="20"/>
  <c r="F25" i="21"/>
  <c r="E25" i="21"/>
  <c r="B25" i="21"/>
  <c r="B57" i="20" s="1"/>
  <c r="G21" i="21"/>
  <c r="F21" i="21"/>
  <c r="E21" i="21"/>
  <c r="D21" i="21"/>
  <c r="B21" i="21"/>
  <c r="B56" i="20" s="1"/>
  <c r="G17" i="21"/>
  <c r="F17" i="21"/>
  <c r="E17" i="21"/>
  <c r="D17" i="21"/>
  <c r="B17" i="21"/>
  <c r="B55" i="20" s="1"/>
  <c r="G13" i="21"/>
  <c r="F13" i="21"/>
  <c r="E13" i="21"/>
  <c r="D13" i="21"/>
  <c r="B13" i="21"/>
  <c r="B54" i="20" s="1"/>
  <c r="G5" i="21"/>
  <c r="F5" i="21"/>
  <c r="E5" i="21"/>
  <c r="D5" i="21"/>
  <c r="B5" i="21"/>
  <c r="B52" i="20" s="1"/>
  <c r="M33" i="21" l="1"/>
  <c r="N33" i="21"/>
  <c r="L33" i="21"/>
  <c r="J29" i="21"/>
  <c r="M29" i="21" s="1"/>
  <c r="K29" i="21"/>
  <c r="N29" i="21" s="1"/>
  <c r="I29" i="21"/>
  <c r="L29" i="21" s="1"/>
  <c r="B59" i="20"/>
  <c r="B60" i="20"/>
  <c r="I25" i="21" l="1"/>
  <c r="K25" i="21"/>
  <c r="J25" i="21"/>
  <c r="E83" i="20"/>
  <c r="D45" i="51" l="1"/>
  <c r="B6" i="38"/>
  <c r="C6" i="38"/>
  <c r="F3" i="51" l="1"/>
  <c r="F2" i="51"/>
  <c r="E3" i="51"/>
  <c r="E2" i="21"/>
  <c r="C32" i="38"/>
  <c r="C44" i="38" s="1"/>
  <c r="C27" i="38"/>
  <c r="E15" i="51" l="1"/>
  <c r="E7" i="51"/>
  <c r="E11" i="51"/>
  <c r="E12" i="51" s="1"/>
  <c r="E19" i="51"/>
  <c r="F19" i="51"/>
  <c r="F15" i="51"/>
  <c r="F7" i="51"/>
  <c r="F11" i="51"/>
  <c r="F12" i="51" s="1"/>
  <c r="C38" i="38"/>
  <c r="C18" i="38"/>
  <c r="E17" i="38" s="1"/>
  <c r="F25" i="25"/>
  <c r="E16" i="51" l="1"/>
  <c r="E20" i="51" s="1"/>
  <c r="E8" i="51"/>
  <c r="F8" i="51"/>
  <c r="F16" i="51"/>
  <c r="F20" i="51" s="1"/>
  <c r="E13" i="38"/>
  <c r="E14" i="38"/>
  <c r="E12" i="38"/>
  <c r="E16" i="38"/>
  <c r="E15" i="38"/>
  <c r="E27" i="51" l="1"/>
  <c r="E39" i="51"/>
  <c r="E43" i="51"/>
  <c r="E31" i="51"/>
  <c r="E51" i="51"/>
  <c r="E63" i="51"/>
  <c r="E35" i="51"/>
  <c r="E55" i="51"/>
  <c r="E59" i="51"/>
  <c r="E23" i="51"/>
  <c r="E47" i="51"/>
  <c r="F27" i="51"/>
  <c r="F47" i="51"/>
  <c r="F43" i="51"/>
  <c r="F59" i="51"/>
  <c r="F39" i="51"/>
  <c r="F35" i="51"/>
  <c r="F51" i="51"/>
  <c r="F63" i="51"/>
  <c r="F31" i="51"/>
  <c r="F23" i="51"/>
  <c r="F55" i="51"/>
  <c r="E19" i="38"/>
  <c r="E24" i="51" l="1"/>
  <c r="E28" i="51" s="1"/>
  <c r="E32" i="51" s="1"/>
  <c r="E36" i="51" s="1"/>
  <c r="E40" i="51" s="1"/>
  <c r="E44" i="51" s="1"/>
  <c r="E48" i="51" s="1"/>
  <c r="E52" i="51" s="1"/>
  <c r="E56" i="51" s="1"/>
  <c r="E60" i="51" s="1"/>
  <c r="E64" i="51" s="1"/>
  <c r="E65" i="51"/>
  <c r="E80" i="51" s="1"/>
  <c r="G80" i="51" s="1"/>
  <c r="E72" i="51"/>
  <c r="E69" i="51"/>
  <c r="F24" i="51"/>
  <c r="F28" i="51" s="1"/>
  <c r="F32" i="51" s="1"/>
  <c r="F36" i="51" s="1"/>
  <c r="F40" i="51" s="1"/>
  <c r="F44" i="51" s="1"/>
  <c r="F48" i="51" s="1"/>
  <c r="F52" i="51" s="1"/>
  <c r="F56" i="51" s="1"/>
  <c r="F60" i="51" s="1"/>
  <c r="F64" i="51" s="1"/>
  <c r="F65" i="51"/>
  <c r="F72" i="51"/>
  <c r="F69" i="51"/>
  <c r="C22" i="38"/>
  <c r="C45" i="38" s="1"/>
  <c r="C46" i="38" s="1"/>
  <c r="C42" i="38" s="1"/>
  <c r="E81" i="51" l="1"/>
  <c r="G81" i="51" s="1"/>
  <c r="B22" i="38"/>
  <c r="C39" i="38"/>
  <c r="C40" i="38" s="1"/>
  <c r="C36" i="38" s="1"/>
  <c r="G3" i="51" l="1"/>
  <c r="G2" i="51"/>
  <c r="G19" i="51" l="1"/>
  <c r="G7" i="51"/>
  <c r="G11" i="51"/>
  <c r="G12" i="51" s="1"/>
  <c r="G15" i="51"/>
  <c r="F16" i="25"/>
  <c r="B12" i="25" s="1"/>
  <c r="G16" i="51" l="1"/>
  <c r="G20" i="51" s="1"/>
  <c r="G63" i="51" s="1"/>
  <c r="G8" i="51"/>
  <c r="F12" i="25"/>
  <c r="C12" i="28" s="1"/>
  <c r="C11" i="28"/>
  <c r="G51" i="51" l="1"/>
  <c r="G47" i="51"/>
  <c r="G39" i="51"/>
  <c r="G23" i="51"/>
  <c r="G24" i="51" s="1"/>
  <c r="G27" i="51"/>
  <c r="G55" i="51"/>
  <c r="G43" i="51"/>
  <c r="G35" i="51"/>
  <c r="G59" i="51"/>
  <c r="G31" i="51"/>
  <c r="G28" i="51" l="1"/>
  <c r="G32" i="51" s="1"/>
  <c r="G36" i="51" s="1"/>
  <c r="G40" i="51" s="1"/>
  <c r="G44" i="51" s="1"/>
  <c r="G48" i="51" s="1"/>
  <c r="G52" i="51" s="1"/>
  <c r="G56" i="51" s="1"/>
  <c r="G60" i="51" s="1"/>
  <c r="G64" i="51" s="1"/>
  <c r="G69" i="51"/>
  <c r="G65" i="51"/>
  <c r="E82" i="51" s="1"/>
  <c r="G82" i="51" s="1"/>
  <c r="G83" i="51" s="1"/>
  <c r="G84" i="51" s="1"/>
  <c r="G86" i="51" s="1"/>
  <c r="G72" i="51"/>
  <c r="A4" i="20"/>
  <c r="E66" i="51" l="1"/>
  <c r="H65" i="51" s="1"/>
  <c r="H66" i="51"/>
  <c r="E9" i="21"/>
  <c r="F9" i="21"/>
  <c r="G9" i="21"/>
  <c r="D9" i="21"/>
  <c r="F67" i="51" l="1"/>
  <c r="G67" i="51"/>
  <c r="E67" i="51"/>
  <c r="G3" i="21"/>
  <c r="G7" i="21" l="1"/>
  <c r="G15" i="21"/>
  <c r="E3" i="21"/>
  <c r="E7" i="21" s="1"/>
  <c r="F3" i="21"/>
  <c r="F7" i="21" s="1"/>
  <c r="F2" i="21"/>
  <c r="G2" i="21"/>
  <c r="G8" i="21" l="1"/>
  <c r="F15" i="21"/>
  <c r="E8" i="21" l="1"/>
  <c r="F8" i="21"/>
  <c r="E11" i="21"/>
  <c r="E15" i="21"/>
  <c r="E19" i="21"/>
  <c r="F11" i="21"/>
  <c r="F12" i="21" s="1"/>
  <c r="F19" i="21"/>
  <c r="E12" i="21" l="1"/>
  <c r="E16" i="21" s="1"/>
  <c r="E20" i="21" s="1"/>
  <c r="E43" i="21" s="1"/>
  <c r="F16" i="21"/>
  <c r="F20" i="21" s="1"/>
  <c r="F23" i="21" s="1"/>
  <c r="G19" i="21"/>
  <c r="G11" i="21"/>
  <c r="F31" i="21" l="1"/>
  <c r="F47" i="21"/>
  <c r="E63" i="21"/>
  <c r="E31" i="21"/>
  <c r="E47" i="21"/>
  <c r="E51" i="21"/>
  <c r="E39" i="21"/>
  <c r="E35" i="21"/>
  <c r="E55" i="21"/>
  <c r="E23" i="21"/>
  <c r="E24" i="21" s="1"/>
  <c r="E59" i="21"/>
  <c r="E27" i="21"/>
  <c r="F51" i="21"/>
  <c r="F35" i="21"/>
  <c r="F39" i="21"/>
  <c r="F63" i="21"/>
  <c r="F59" i="21"/>
  <c r="F27" i="21"/>
  <c r="F43" i="21"/>
  <c r="F55" i="21"/>
  <c r="G12" i="21"/>
  <c r="G16" i="21" s="1"/>
  <c r="G20" i="21" s="1"/>
  <c r="G23" i="21" s="1"/>
  <c r="E72" i="21" l="1"/>
  <c r="F65" i="21"/>
  <c r="F72" i="21"/>
  <c r="F69" i="21"/>
  <c r="G39" i="21"/>
  <c r="G63" i="21"/>
  <c r="G51" i="21"/>
  <c r="G59" i="21"/>
  <c r="G27" i="21"/>
  <c r="G55" i="21"/>
  <c r="G43" i="21"/>
  <c r="G31" i="21"/>
  <c r="G47" i="21"/>
  <c r="G35" i="21"/>
  <c r="F24" i="21"/>
  <c r="F28" i="21" s="1"/>
  <c r="F32" i="21" s="1"/>
  <c r="F36" i="21" s="1"/>
  <c r="F40" i="21" s="1"/>
  <c r="F44" i="21" s="1"/>
  <c r="E65" i="21"/>
  <c r="E69" i="21"/>
  <c r="E28" i="21"/>
  <c r="G72" i="21" l="1"/>
  <c r="E81" i="21"/>
  <c r="G81" i="21" s="1"/>
  <c r="E32" i="21"/>
  <c r="E36" i="21" s="1"/>
  <c r="E40" i="21" s="1"/>
  <c r="E44" i="21" s="1"/>
  <c r="E48" i="21" s="1"/>
  <c r="E52" i="21" s="1"/>
  <c r="E56" i="21" s="1"/>
  <c r="E80" i="21"/>
  <c r="G80" i="21" s="1"/>
  <c r="G65" i="21"/>
  <c r="H66" i="21" s="1"/>
  <c r="G69" i="21"/>
  <c r="G24" i="21"/>
  <c r="G28" i="21" s="1"/>
  <c r="G32" i="21" s="1"/>
  <c r="G36" i="21" s="1"/>
  <c r="G40" i="21" s="1"/>
  <c r="G44" i="21" s="1"/>
  <c r="F48" i="21"/>
  <c r="F52" i="21" s="1"/>
  <c r="F56" i="21" s="1"/>
  <c r="E66" i="21" l="1"/>
  <c r="H65" i="21"/>
  <c r="E82" i="21"/>
  <c r="G82" i="21" s="1"/>
  <c r="G83" i="21" s="1"/>
  <c r="G84" i="21" s="1"/>
  <c r="G48" i="21"/>
  <c r="G52" i="21" s="1"/>
  <c r="G56" i="21" s="1"/>
  <c r="N9" i="53" l="1"/>
  <c r="N10" i="53"/>
  <c r="N11" i="53"/>
  <c r="O2" i="53"/>
  <c r="N3" i="53"/>
  <c r="O3" i="53" s="1"/>
  <c r="D6" i="52" s="1"/>
  <c r="E6" i="52" s="1"/>
  <c r="N6" i="53"/>
  <c r="O6" i="53" s="1"/>
  <c r="D15" i="52" s="1"/>
  <c r="E15" i="52" s="1"/>
  <c r="N4" i="53"/>
  <c r="O4" i="53" s="1"/>
  <c r="D9" i="52" s="1"/>
  <c r="E9" i="52" s="1"/>
  <c r="N7" i="53"/>
  <c r="E18" i="52" s="1"/>
  <c r="N5" i="53"/>
  <c r="O5" i="53" s="1"/>
  <c r="D12" i="52" s="1"/>
  <c r="E12" i="52" s="1"/>
  <c r="N2" i="53"/>
  <c r="N8" i="53"/>
  <c r="G67" i="21"/>
  <c r="F67" i="21"/>
  <c r="E67" i="21"/>
  <c r="F60" i="21"/>
  <c r="F64" i="21" s="1"/>
  <c r="E60" i="21"/>
  <c r="E64" i="21" s="1"/>
  <c r="O8" i="53" l="1"/>
  <c r="D21" i="52" s="1"/>
  <c r="E21" i="52" s="1"/>
  <c r="O10" i="53"/>
  <c r="D27" i="52" s="1"/>
  <c r="E27" i="52" s="1"/>
  <c r="O11" i="53"/>
  <c r="P11" i="53" s="1"/>
  <c r="O9" i="53"/>
  <c r="P9" i="53" s="1"/>
  <c r="E14" i="52"/>
  <c r="G14" i="52" s="1"/>
  <c r="G15" i="52"/>
  <c r="P3" i="53"/>
  <c r="E5" i="52"/>
  <c r="G5" i="52" s="1"/>
  <c r="G6" i="52"/>
  <c r="E11" i="52"/>
  <c r="G12" i="52"/>
  <c r="E17" i="52"/>
  <c r="G17" i="52" s="1"/>
  <c r="G18" i="52"/>
  <c r="E8" i="52"/>
  <c r="G8" i="52" s="1"/>
  <c r="G9" i="52"/>
  <c r="P6" i="53"/>
  <c r="P4" i="53"/>
  <c r="P2" i="53"/>
  <c r="D3" i="52"/>
  <c r="E3" i="52" s="1"/>
  <c r="P7" i="53"/>
  <c r="P5" i="53"/>
  <c r="P8" i="53"/>
  <c r="F6" i="40"/>
  <c r="G60" i="21"/>
  <c r="G64" i="21" s="1"/>
  <c r="G11" i="52" l="1"/>
  <c r="E26" i="52"/>
  <c r="G26" i="52" s="1"/>
  <c r="G27" i="52"/>
  <c r="E20" i="52"/>
  <c r="G20" i="52" s="1"/>
  <c r="G21" i="52"/>
  <c r="D30" i="52"/>
  <c r="E30" i="52" s="1"/>
  <c r="D24" i="52"/>
  <c r="E24" i="52" s="1"/>
  <c r="P10" i="53"/>
  <c r="P12" i="53" s="1"/>
  <c r="P13" i="53" s="1"/>
  <c r="E2" i="52"/>
  <c r="G3" i="52"/>
  <c r="F7" i="40"/>
  <c r="G24" i="52" l="1"/>
  <c r="E23" i="52"/>
  <c r="G23" i="52" s="1"/>
  <c r="E29" i="52"/>
  <c r="G30" i="52"/>
  <c r="G2" i="52"/>
  <c r="B1" i="32"/>
  <c r="A8" i="32" s="1"/>
  <c r="B8" i="32" s="1"/>
  <c r="L9" i="32" s="1"/>
  <c r="L10" i="32" s="1"/>
  <c r="G29" i="52" l="1"/>
  <c r="E33" i="52"/>
  <c r="G32" i="52"/>
  <c r="J9" i="32"/>
  <c r="J12" i="32" s="1"/>
  <c r="E9" i="32"/>
  <c r="M9" i="32"/>
  <c r="M12" i="32" s="1"/>
  <c r="G9" i="32"/>
  <c r="N9" i="32"/>
  <c r="N11" i="32" s="1"/>
  <c r="K9" i="32"/>
  <c r="K11" i="32" s="1"/>
  <c r="F9" i="32"/>
  <c r="F12" i="32" s="1"/>
  <c r="I9" i="32"/>
  <c r="I10" i="32" s="1"/>
  <c r="D9" i="32"/>
  <c r="D12" i="32" s="1"/>
  <c r="C9" i="32"/>
  <c r="C11" i="32" s="1"/>
  <c r="H9" i="32"/>
  <c r="L11" i="32"/>
  <c r="L12" i="32"/>
  <c r="G33" i="52" l="1"/>
  <c r="E35" i="52"/>
  <c r="E11" i="32"/>
  <c r="G11" i="32"/>
  <c r="D11" i="32"/>
  <c r="C12" i="32"/>
  <c r="C10" i="32"/>
  <c r="D10" i="32"/>
  <c r="M11" i="32"/>
  <c r="G12" i="32"/>
  <c r="H11" i="32"/>
  <c r="M10" i="32"/>
  <c r="N10" i="32"/>
  <c r="G10" i="32"/>
  <c r="F10" i="32"/>
  <c r="J11" i="32"/>
  <c r="J10" i="32"/>
  <c r="E10" i="32"/>
  <c r="E12" i="32" s="1"/>
  <c r="I11" i="32"/>
  <c r="H10" i="32"/>
  <c r="H12" i="32" s="1"/>
  <c r="K10" i="32"/>
  <c r="K12" i="32" s="1"/>
  <c r="F11" i="32"/>
  <c r="I12" i="32"/>
  <c r="E1" i="31"/>
  <c r="G1" i="31"/>
  <c r="G2" i="31" s="1"/>
  <c r="C13" i="28"/>
  <c r="A12" i="29" s="1"/>
  <c r="B13" i="32" l="1"/>
  <c r="B7" i="29"/>
  <c r="E2" i="31"/>
  <c r="B2" i="32" l="1"/>
  <c r="A8" i="40"/>
  <c r="B3" i="32"/>
</calcChain>
</file>

<file path=xl/sharedStrings.xml><?xml version="1.0" encoding="utf-8"?>
<sst xmlns="http://schemas.openxmlformats.org/spreadsheetml/2006/main" count="935" uniqueCount="380">
  <si>
    <t>Địa chỉ</t>
  </si>
  <si>
    <t>Tài sản so sánh 1</t>
  </si>
  <si>
    <t>Tài sản so sánh 2</t>
  </si>
  <si>
    <t>Tài sản so sánh 3</t>
  </si>
  <si>
    <t>Nguồn tham khảo</t>
  </si>
  <si>
    <t>Thông tin liên lạc</t>
  </si>
  <si>
    <t>Pháp lý</t>
  </si>
  <si>
    <t>STT</t>
  </si>
  <si>
    <t>Yếu tố so sánh</t>
  </si>
  <si>
    <t>Đơn vị tính</t>
  </si>
  <si>
    <t>Tài sản thẩm định</t>
  </si>
  <si>
    <t>A</t>
  </si>
  <si>
    <t>Đồng</t>
  </si>
  <si>
    <t>B</t>
  </si>
  <si>
    <t>C</t>
  </si>
  <si>
    <t>Điều chỉnh các yếu tố so sánh</t>
  </si>
  <si>
    <t>C1</t>
  </si>
  <si>
    <t>Tỷ lệ điều chỉnh</t>
  </si>
  <si>
    <t>%</t>
  </si>
  <si>
    <t>Mức điều chỉnh</t>
  </si>
  <si>
    <t>C2</t>
  </si>
  <si>
    <t>C3</t>
  </si>
  <si>
    <t>C4</t>
  </si>
  <si>
    <t>C5</t>
  </si>
  <si>
    <t>C6</t>
  </si>
  <si>
    <t>D</t>
  </si>
  <si>
    <t xml:space="preserve">Mức giá chỉ dẫn </t>
  </si>
  <si>
    <t>D1</t>
  </si>
  <si>
    <t xml:space="preserve">Đồng </t>
  </si>
  <si>
    <t>D2</t>
  </si>
  <si>
    <t>E</t>
  </si>
  <si>
    <t>Tổng hợp các số liệu điều chỉnh tại mục C</t>
  </si>
  <si>
    <t>E1</t>
  </si>
  <si>
    <t>Tổng giá trị điều chỉnh gộp</t>
  </si>
  <si>
    <t>E2</t>
  </si>
  <si>
    <t>Tổng số lần điều chỉnh</t>
  </si>
  <si>
    <t>Lần</t>
  </si>
  <si>
    <t>E3</t>
  </si>
  <si>
    <t>Biên độ điều chỉnh</t>
  </si>
  <si>
    <t>E4</t>
  </si>
  <si>
    <t xml:space="preserve">Tổng giá trị điều chỉnh thuần </t>
  </si>
  <si>
    <t>Tỷ lệ % CLCL</t>
  </si>
  <si>
    <t>Đơn giá đất ước tính</t>
  </si>
  <si>
    <t xml:space="preserve">Giá trị trung bình </t>
  </si>
  <si>
    <t>Mức độ chênh lệch</t>
  </si>
  <si>
    <t>Móng</t>
  </si>
  <si>
    <t>Tường</t>
  </si>
  <si>
    <t>Nền, sàn</t>
  </si>
  <si>
    <t>Kết cấu đỡ mái</t>
  </si>
  <si>
    <t>Mái</t>
  </si>
  <si>
    <t>C7</t>
  </si>
  <si>
    <t>C8</t>
  </si>
  <si>
    <t>C9</t>
  </si>
  <si>
    <t>Tình trạng giao dịch</t>
  </si>
  <si>
    <t>Tính chất giao dịch</t>
  </si>
  <si>
    <t>Giao dịch bình thường trên thị trường</t>
  </si>
  <si>
    <t>Hình dáng thửa đất</t>
  </si>
  <si>
    <t>I. TÀI SẢN; ĐẶC ĐIỂM CỦA TÀI SẢN THẨM ĐỊNH GIÁ</t>
  </si>
  <si>
    <t>Tên tài sản</t>
  </si>
  <si>
    <t>1.</t>
  </si>
  <si>
    <t>Nội dung Thửa đất theo Hồ sơ pháp lý</t>
  </si>
  <si>
    <t>-</t>
  </si>
  <si>
    <t>Địa chỉ:</t>
  </si>
  <si>
    <t>Diện tích (m²):</t>
  </si>
  <si>
    <t>Mục đích sử dụng:</t>
  </si>
  <si>
    <t>Thời hạn sử dụng:</t>
  </si>
  <si>
    <t>2.</t>
  </si>
  <si>
    <t>Về đất:</t>
  </si>
  <si>
    <t>2.1</t>
  </si>
  <si>
    <t>Số mặt tiền:</t>
  </si>
  <si>
    <t>2.2.</t>
  </si>
  <si>
    <t>Diện tích; Kích thước; Hình dáng</t>
  </si>
  <si>
    <t>2.3.</t>
  </si>
  <si>
    <t>Cấp điện, cấp nước sạch, mạng internet,…hoàn thiện</t>
  </si>
  <si>
    <t>Đời sống dân cư:</t>
  </si>
  <si>
    <t>Ổn định</t>
  </si>
  <si>
    <t>3.</t>
  </si>
  <si>
    <t>TSSS1</t>
  </si>
  <si>
    <t>TSSS2</t>
  </si>
  <si>
    <t>TSSS3</t>
  </si>
  <si>
    <t>Mục đích sử dụng</t>
  </si>
  <si>
    <t>Giao thông</t>
  </si>
  <si>
    <t>Có Giấy chứng nhận Quyền sử dụng đất</t>
  </si>
  <si>
    <t>Thông tin về tài sản</t>
  </si>
  <si>
    <t>ĐẶC ĐIỂM BĐS</t>
  </si>
  <si>
    <t>Mặt tiền (m)</t>
  </si>
  <si>
    <t>Tài sản trên đất</t>
  </si>
  <si>
    <t>Năm xây dựng</t>
  </si>
  <si>
    <t>Số tầng</t>
  </si>
  <si>
    <t>Giá thương lượng/bán (đồng)</t>
  </si>
  <si>
    <t>Giá rao (đồng)</t>
  </si>
  <si>
    <t>Chi tiết tính toán</t>
  </si>
  <si>
    <t>Giá trị đất (đồng)</t>
  </si>
  <si>
    <t>Môi trường trong lành, an ninh đảm bảo, dân trí tốt</t>
  </si>
  <si>
    <t>Điều kiện kinh doanh; Hạ tầng nội bộ; Hạ tầng xung quanh</t>
  </si>
  <si>
    <t>Hạ tầng nội bộ:</t>
  </si>
  <si>
    <t>Hạ tầng xung quanh:</t>
  </si>
  <si>
    <t>Mật độ dân cư:</t>
  </si>
  <si>
    <t>Lợi thế kinh doanh:</t>
  </si>
  <si>
    <t>Khả năng chuyển nhượng:</t>
  </si>
  <si>
    <t>TT</t>
  </si>
  <si>
    <t>Tỷ lệ giá trị các kết cấu chính (%)</t>
  </si>
  <si>
    <t>Tỷ lệ chất lượng còn lại các kết cấu chính (%)</t>
  </si>
  <si>
    <t>Tỷ lệ giá trị còn lại các kết cấu chính (%)</t>
  </si>
  <si>
    <t>a</t>
  </si>
  <si>
    <t>b</t>
  </si>
  <si>
    <t>c</t>
  </si>
  <si>
    <t>d</t>
  </si>
  <si>
    <t>e = c x d/g</t>
  </si>
  <si>
    <t>Khung, cột</t>
  </si>
  <si>
    <t>Tổng cộng (g)</t>
  </si>
  <si>
    <t>Tỷ lệ chất lượng còn lại:</t>
  </si>
  <si>
    <t>Thửa đất số:</t>
  </si>
  <si>
    <t>Tờ bản đồ số:</t>
  </si>
  <si>
    <t>PHIẾU ĐIỀU TRA, KHẢO SÁT TÀI SẢN THẨM ĐỊNH</t>
  </si>
  <si>
    <t>Thẩm định viên</t>
  </si>
  <si>
    <t>PHIẾU ĐIỀU TRA, KHẢO SÁT TÀI SẢN SO SÁNH</t>
  </si>
  <si>
    <t>Tài sản</t>
  </si>
  <si>
    <t>Đơn giá (đồng/m²)</t>
  </si>
  <si>
    <t>Thành tiền (đồng)</t>
  </si>
  <si>
    <t>HỒ SƠ THẨM ĐỊNH GIÁ</t>
  </si>
  <si>
    <t>Tên hồ sơ</t>
  </si>
  <si>
    <t>Số hiệu hồ sơ</t>
  </si>
  <si>
    <t>Ngày lập hồ sơ</t>
  </si>
  <si>
    <t>Ngày lưu trữ hồ sơ</t>
  </si>
  <si>
    <t>:</t>
  </si>
  <si>
    <t>DANH MỤC CÁC TÀI LIỆU KÈM THEO</t>
  </si>
  <si>
    <t>1. Kế hoạch thẩm định giá</t>
  </si>
  <si>
    <t>2. Hợp đồng, thanh lý thẩm định giá</t>
  </si>
  <si>
    <t>3. Chứng thư thẩm định giá</t>
  </si>
  <si>
    <t>4. Báo cáo kết quả thẩm định giá</t>
  </si>
  <si>
    <t>5. Hồ sơ pháp lý, Biên bản khảo sát kèm theo</t>
  </si>
  <si>
    <t>Số:</t>
  </si>
  <si>
    <t>KẾ HOẠCH THẨM ĐỊNH GIÁ</t>
  </si>
  <si>
    <t>Kính gửi:</t>
  </si>
  <si>
    <t>Chúng tôi xin thông báo nhân sự và kế hoạch làm việc như sau:</t>
  </si>
  <si>
    <t>Thời gian làm việc</t>
  </si>
  <si>
    <t xml:space="preserve">2. </t>
  </si>
  <si>
    <t>Nhân sự</t>
  </si>
  <si>
    <t>Họ và tên</t>
  </si>
  <si>
    <t>Chức vụ</t>
  </si>
  <si>
    <t>Công việc thực hiện</t>
  </si>
  <si>
    <t>Trợ lý Thẩm định viên</t>
  </si>
  <si>
    <t>Chỉ đạo chung</t>
  </si>
  <si>
    <t>Phụ trách trực tiếp, soát xét kết quả</t>
  </si>
  <si>
    <t>Tổng hợp kết quả, lên dự thảo</t>
  </si>
  <si>
    <t>Khảo sát tài sản</t>
  </si>
  <si>
    <t>Xin trân trọng cảm ơn!</t>
  </si>
  <si>
    <t>Người lập</t>
  </si>
  <si>
    <t>Đề nghị Quý đơn vị bố trí cán bộ hướng dẫn, hỗ trợ đi khảo sát cùng chúng tôi, kết hợp đầu mối cung cấp hồ sơ tài liệu và ký biên bản khảo sát hiện trạng.</t>
  </si>
  <si>
    <t>Mã số</t>
  </si>
  <si>
    <t>Ngày phát hành chứng thư</t>
  </si>
  <si>
    <t>Ngày</t>
  </si>
  <si>
    <t>Tháng</t>
  </si>
  <si>
    <t>Năm</t>
  </si>
  <si>
    <t>(Bản gốc)</t>
  </si>
  <si>
    <t>(Bản sao)</t>
  </si>
  <si>
    <t>Ngày ký hợp đồng</t>
  </si>
  <si>
    <t>Số cần đọc là:</t>
  </si>
  <si>
    <t>Bằng chữ:</t>
  </si>
  <si>
    <t>Đọc thành tiền:</t>
  </si>
  <si>
    <t>Bảng dưới đây có thể copy sang 1 sheet để ẩn:</t>
  </si>
  <si>
    <t>Vị trí; Giao thông;</t>
  </si>
  <si>
    <t>Khoảng cách đến trục đường chính:</t>
  </si>
  <si>
    <t>Giá trị tài sản gắn liền đất = Nguyên giá x Tỷ lệ chất lượng còn lại</t>
  </si>
  <si>
    <t>Tỷ lệ chất lượng còn lại</t>
  </si>
  <si>
    <t>Diện tích sàn xây dựng (m²)</t>
  </si>
  <si>
    <t>Nguyên giá = Diện tích sàn xây dựng x Đơn giá</t>
  </si>
  <si>
    <t>Giá trị</t>
  </si>
  <si>
    <t>DANH MỤC</t>
  </si>
  <si>
    <t>TÊN KẾT CẤU CHÍNH</t>
  </si>
  <si>
    <t>Phương pháp chuyên gia:</t>
  </si>
  <si>
    <t>+ Tổ thẩm định lựa chọn số năm khấu hao (năm)</t>
  </si>
  <si>
    <t>25-50</t>
  </si>
  <si>
    <t>+ Niên hạn sử dụng theo Thông tư số 45/2013/TT-BTC ngày 25/4/2013 (năm)</t>
  </si>
  <si>
    <t>+ Năm xây dựng và đưa vào sử dụng:</t>
  </si>
  <si>
    <t>+ Năm thẩm định giá:</t>
  </si>
  <si>
    <t>Phương pháp tuổi đời:</t>
  </si>
  <si>
    <t>Thời điểm thu thập thông tin</t>
  </si>
  <si>
    <t>Số hợp đồng</t>
  </si>
  <si>
    <t>Số chứng thư</t>
  </si>
  <si>
    <t>Hệ số điều chỉnh vùng</t>
  </si>
  <si>
    <t>Đơn giá áp dụng</t>
  </si>
  <si>
    <t>Số báo cáo</t>
  </si>
  <si>
    <t>NHẬN XÉT</t>
  </si>
  <si>
    <t>Hình thức sử dụng</t>
  </si>
  <si>
    <t>Diện tích (m²)</t>
  </si>
  <si>
    <t xml:space="preserve">Tốt </t>
  </si>
  <si>
    <t xml:space="preserve">Đang giao dịch </t>
  </si>
  <si>
    <t>II</t>
  </si>
  <si>
    <t>Suất vốn đầu tư theo QĐ 610</t>
  </si>
  <si>
    <t xml:space="preserve">Đối với công trình xây dựng theo Giấy chứng nhận quyền sử dụng đất: </t>
  </si>
  <si>
    <t xml:space="preserve">Đối với công trình xây dựng theo giấy phép sửa chữa, cải tạo năm 2018: </t>
  </si>
  <si>
    <t xml:space="preserve">I </t>
  </si>
  <si>
    <t xml:space="preserve">Công trình xây dựng theo Giấy chứng nhận quyền sử dụng đất </t>
  </si>
  <si>
    <t>Công trình xây dựng theo giấy phép sửa chữa, cải tạo năm 2018</t>
  </si>
  <si>
    <t>1.1</t>
  </si>
  <si>
    <t>Thửa đất:</t>
  </si>
  <si>
    <t>Diện tích sàn sử dụng (m²)</t>
  </si>
  <si>
    <t>Đơn giá QSDĐ (đồng/m²)</t>
  </si>
  <si>
    <t>Đồng/m²</t>
  </si>
  <si>
    <t>Giá sau điều chỉnh</t>
  </si>
  <si>
    <t>Giá trị tài sản trên đất (đồng)</t>
  </si>
  <si>
    <t xml:space="preserve">Chiều sâu (m): </t>
  </si>
  <si>
    <t>Hướng:</t>
  </si>
  <si>
    <t>Lâu dài</t>
  </si>
  <si>
    <t>Thông tin quy hoạch:</t>
  </si>
  <si>
    <t>Diện tích sử dụng riêng thực tế (m²):</t>
  </si>
  <si>
    <t>Diện tích sử dụng chung thực tế (m²):</t>
  </si>
  <si>
    <t>Nguồn gốc sử dụng đất:</t>
  </si>
  <si>
    <t>Vị trí trên bản đồ vệ tinh:</t>
  </si>
  <si>
    <t>Đường tiếp giáp chính:</t>
  </si>
  <si>
    <t>Đất ở tại đô thị</t>
  </si>
  <si>
    <t>Giấy chứng nhận quyền sử dụng đất quyền sở hữu nhà ở và tài sản khác gắn liền với đất</t>
  </si>
  <si>
    <t xml:space="preserve">Địa chỉ thực tế: </t>
  </si>
  <si>
    <t>Hệ số/
CLCL (%)</t>
  </si>
  <si>
    <t>Yếu tố khác (Yếu tố phong thủy/Yếu tố tâm linh)</t>
  </si>
  <si>
    <t>Thời hạn sử dụng đất</t>
  </si>
  <si>
    <t>Điều kiện môi trường an ninh</t>
  </si>
  <si>
    <t>Số lượng mặt tiếp giáp</t>
  </si>
  <si>
    <t>Chiều sâu (m)</t>
  </si>
  <si>
    <t>Điều kiện cơ sở hạ tầng kỹ thuật</t>
  </si>
  <si>
    <t>Giá trị QSDĐ thị trường (Ước tính sau thương lượng)</t>
  </si>
  <si>
    <t>Các hướng tiếp giáp:</t>
  </si>
  <si>
    <t>Mặt cắt đường/ngõ nhỏ nhất từ đường chính dẫn đến tài sản thẩm định giá:</t>
  </si>
  <si>
    <t>Mặt cắt đường/ngõ trước mặt tài sản thẩm định giá:</t>
  </si>
  <si>
    <t>Yếu tố bất lợi:</t>
  </si>
  <si>
    <t>Yếu tố khác (nếu có):</t>
  </si>
  <si>
    <t>C13</t>
  </si>
  <si>
    <t>Vị trí</t>
  </si>
  <si>
    <t>Lợi thế kinh doanh</t>
  </si>
  <si>
    <t>C15</t>
  </si>
  <si>
    <t>Tốt</t>
  </si>
  <si>
    <t>Nguyễn Trọng Điệp</t>
  </si>
  <si>
    <t>Người thực hiện khảo sát</t>
  </si>
  <si>
    <t>Diện tích đất (m²)</t>
  </si>
  <si>
    <t>TỔNG CỘNG</t>
  </si>
  <si>
    <t>LÀM TRÒN</t>
  </si>
  <si>
    <t>Mức giá chỉ dẫn của các TSSS</t>
  </si>
  <si>
    <t>Trọng số của các TSSS sau điều chỉnh</t>
  </si>
  <si>
    <t>Giá trị trung bình của mức giá chỉ dẫn sau điều chỉnh</t>
  </si>
  <si>
    <t>Giá thương lượng (đồng)</t>
  </si>
  <si>
    <t>PHIẾU ĐIỀU TRA, KHẢO SÁT TÀI SẢN SO SÁNH-TSSS1</t>
  </si>
  <si>
    <t>Bằng chứng thu thập</t>
  </si>
  <si>
    <t>PHIẾU ĐIỀU TRA, KHẢO SÁT TÀI SẢN SO SÁNH-TSSS2</t>
  </si>
  <si>
    <t>PHIẾU ĐIỀU TRA, KHẢO SÁT TÀI SẢN SO SÁNH-TSSS3</t>
  </si>
  <si>
    <t>Giá trị bình quân theo trọng số:</t>
  </si>
  <si>
    <t>Làm tròn:</t>
  </si>
  <si>
    <t>Điền ngày</t>
  </si>
  <si>
    <t>Nhận chuyển nhượng đất được Công nhận QSDĐ như giao đất có thu tiền sử dụng đất</t>
  </si>
  <si>
    <t>Tại thời điểm thẩm định giá, Tổ thẩm định không thu thập được các thông tin quy hoạch liên quan đến thửa đất thẩm định giá.</t>
  </si>
  <si>
    <t>min</t>
  </si>
  <si>
    <t>max</t>
  </si>
  <si>
    <t>Khá</t>
  </si>
  <si>
    <t xml:space="preserve"> Do vậy, theo đề nghị của Ngân hàng/Khách hàng, Tổ thẩm định không xác định giá trị của công trình xây dựng vào tổng giá trị, nhưng vẫn coi đó là phần không thể tách rời của tài sản thẩm định. Kính đề nghị đơn vị sử dụng kết quả lưu ý.</t>
  </si>
  <si>
    <t>2024</t>
  </si>
  <si>
    <t>11</t>
  </si>
  <si>
    <t>Ghi chú:</t>
  </si>
  <si>
    <t>01</t>
  </si>
  <si>
    <t>02</t>
  </si>
  <si>
    <t>Mặt tiền (m):</t>
  </si>
  <si>
    <t>Hình dáng:</t>
  </si>
  <si>
    <t>+ Tại thời điểm khảo sát, trên bất động sản là Nhà 04 tầng, xây dựng năm 2022, kết cấu BTCT, ngoại quan mới, diện tích xây dựng khoảng 33m2, diện tích sử dụng khoảng 132m2.
+ Công trình chưa được chứng nhận trên Giấy chứng nhận quyền sử dụng đất, quyền sở hữu nhà ở và tài sản khác gắn liền với đất số CS 766907. Đồng thời, Tổ thẩm định không nhận được bất kỳ hồ sơ pháp lý nào liên quan đến CTXD nêu trên. Do vậy, giá trị công trình xây dựng ước tính tại Chứng thư, Báo cáo này chỉ mang tính chất tham khảo. Kính đề nghị đơn vị sử dụng kết quả lưu ý.</t>
  </si>
  <si>
    <t>m2</t>
  </si>
  <si>
    <t>m</t>
  </si>
  <si>
    <t>Yếu tố phong thủy</t>
  </si>
  <si>
    <t>Sử dụng riêng</t>
  </si>
  <si>
    <t>1 mặt tiền</t>
  </si>
  <si>
    <t>Không</t>
  </si>
  <si>
    <t>CĐ 603946</t>
  </si>
  <si>
    <t>Ông Nguyễn Văn Toan</t>
  </si>
  <si>
    <t>Ủy ban nhân dân thành phố Nha Trang</t>
  </si>
  <si>
    <t>CH04239</t>
  </si>
  <si>
    <t>15/07/2016</t>
  </si>
  <si>
    <t>Phù hợp để ở/kinh doanh</t>
  </si>
  <si>
    <t xml:space="preserve">Hệ thống cấp điện, cấp thoát nước đầy đủ. </t>
  </si>
  <si>
    <t>275/2024/0627/VFI-HĐTĐ.39.B</t>
  </si>
  <si>
    <t>275/2024/0627/VFI-CT.39.B</t>
  </si>
  <si>
    <t>275/2024/0627/VFI-BC.39.B</t>
  </si>
  <si>
    <t>12</t>
  </si>
  <si>
    <t>Những thay đổi sau khi cấp giấy chứng nhận</t>
  </si>
  <si>
    <t>Ngày 09/4/2018: Nội dung tại trang II Giấy chứng nhận ghi thửa đất số 15 tờ bản đồ số 78 có sai sót, được đính chính lại là thửa đất số 16, tờ bản đồ số 42 theo biên bản kiểm tra ngày 09/4/2018 của Chi nhánh Văn phòng Đăng ký đất đai Tp. Nha Trang.</t>
  </si>
  <si>
    <t>Hướng Bắc: Tiếp giáp với đường Củ Chi
Các hướng còn lại: Tiếp giáp thửa đất khác</t>
  </si>
  <si>
    <t xml:space="preserve"> Tài sản gắn liền với đất (Nhà 02 tầng)</t>
  </si>
  <si>
    <t>+ Tại thời điểm khảo sát, trên bất động sản là Nhà 02 tầng, kết cấu BTCT, ngoại quan mới, diện tích xây dựng: 165,4m2; tổng diện tích sàn xây dựng: 369,4m²;
+ Công trình chưa được chứng nhận trên Giấy chứng nhận quyền sử dụng đất, quyền sở hữu nhà ở và tài sản khác gắn liền với đất số CS 766907. Hiện công trình được cấp phép xây dựng theo Giấy phép xây dựng số 1566/GPXD-UBND ngày 22/9/2020. Theo đề nghị của Ngân hàng/Khách hàng, Tổ thẩm định không xác định giá trị của công trình xây dựng vào tổng giá trị, nhưng vẫn coi đó là phần không thể tách rời của tài sản thẩm định. Kính đề nghị đơn vị sử dụng kết quả lưu ý.</t>
  </si>
  <si>
    <t>07</t>
  </si>
  <si>
    <t xml:space="preserve"> </t>
  </si>
  <si>
    <t>Đinh Thị Lan Hương</t>
  </si>
  <si>
    <t>07/11/2024</t>
  </si>
  <si>
    <t>11/7/2024</t>
  </si>
  <si>
    <t>12/7/2024</t>
  </si>
  <si>
    <t>Tổng giám đốc</t>
  </si>
  <si>
    <t>Lê Thị Thịnh</t>
  </si>
  <si>
    <t>Lê Văn Nam</t>
  </si>
  <si>
    <t>Số 1011 Ngô Gia Tự, phường Đức Giang; Quận Long Biên, Hà Nội</t>
  </si>
  <si>
    <t xml:space="preserve">Đường Ngô Gia Tự </t>
  </si>
  <si>
    <t>36m2</t>
  </si>
  <si>
    <t>Tài sản nằm tại số Số 1011 Ngô Gia Tự, phường Đức Giang; Quận Long Biên, Hà Nội. Cách cầu vượt Long Biên khoảng 2,5km</t>
  </si>
  <si>
    <t>Đa giác</t>
  </si>
  <si>
    <t>Bình quân</t>
  </si>
  <si>
    <t>Nhà 5 tầng</t>
  </si>
  <si>
    <t>I</t>
  </si>
  <si>
    <t>Ghi chú</t>
  </si>
  <si>
    <t>KẾT QUẢ SƠ BỘ TÀI SẢN</t>
  </si>
  <si>
    <t>Vuông vắn</t>
  </si>
  <si>
    <t>Quyền sử dụng đất</t>
  </si>
  <si>
    <t>- Giá trị tài sản được xác định theo vị trí, khách hàng cung cấp tổ thẩm định chưa nhận được GCN. Giá trị tài sản được xác định theo giả thiết toàn bộ diện tích đất không nằm trong phạm vi quy hoạch, trường hợp đi khảo sát nếu tài sản có phần diện tích thuộc quy hoạch thì giá trị tài sản sẽ được xác định lại
- Công trình xây dựng được tính toán theo thông tin được KH cung cấp chưa đi khảo sát, do đó không phải kết quả cuối cùng.
- Báo giá sơ bộ này không phải kết quả cuối cùng. Hoa Sen không chịu trách nhiệm phát sinh từ báo giá sơ bộ này. Đề nghị các bên sử dụng kết quả lưu y!</t>
  </si>
  <si>
    <t>Quyền sử dụng đất và công trình trên đất tại thửa đất số 96; tờ bản đồ số 66; địa chỉ: số 49, ngõ 156 phố Lê Trọng Tấn, phường Khương Mai, quận Thanh Xuân, Thành phố Hà Nội theo Giấy chứng nhận quyền sử dụng đất quyền sở hữu nhà ở và tài sản gắn liền với đất số DP 382239, số vào sổ cấp GCN CN 00156 do Chi nhánh văn phòng đăng ký đất đai Hà Nội cấp ngày 31/7/2024 cho bà Hoàng Thị Minh Vân</t>
  </si>
  <si>
    <t>Tháng 12/2025</t>
  </si>
  <si>
    <t>Đang giao dịch</t>
  </si>
  <si>
    <t>Đất trống</t>
  </si>
  <si>
    <t>Đơn giá xây dựng theo Quyết định số 409/QĐ-BXD (đồng/m²)</t>
  </si>
  <si>
    <t>12m</t>
  </si>
  <si>
    <t>DG 703096</t>
  </si>
  <si>
    <t>https://www.google.com/maps/place/113%2F16+%C4%90.+V%C3%B5+Th%E1%BB%8B+Li%E1%BB%85u,+An+Ph%C3%BA+%C4%90%C3%B4ng,+Qu%E1%BA%ADn+12,+Th%C3%A0nh+ph%E1%BB%91+H%E1%BB%93+Ch%C3%AD+Minh,+Vi%E1%BB%87t+Nam/@10.8594988,106.6948961,646m/data=!3m2!1e3!4b1!4m6!3m5!1s0x31752918bf7ea8cf:0x3f2333e0f14294d8!8m2!3d10.8594935!4d106.697471!16s%2Fg%2F11stj9756r!5m1!1e1?entry=ttu&amp;g_ep=EgoyMDI1MTIwOS4wIKXMDSoKLDEwMDc5MjA3M0gBUAM%3D</t>
  </si>
  <si>
    <t>TSTĐ</t>
  </si>
  <si>
    <t>Liên hệ trực tiếp</t>
  </si>
  <si>
    <t>Không có bất lợi thương mại</t>
  </si>
  <si>
    <t>Đường trước mặt tài sản</t>
  </si>
  <si>
    <t>Tương đối vuông vắn</t>
  </si>
  <si>
    <t>Diện tích ở (m²)</t>
  </si>
  <si>
    <t>Diện tích đất trồng cây hàng năm (m²)</t>
  </si>
  <si>
    <t>Đơn giá đất trồng cây hàng năm theo QĐ-UB (đồng/m²)</t>
  </si>
  <si>
    <t>Giá trị đất TCHN theo QĐ-UB (đồng/m²)</t>
  </si>
  <si>
    <t>Giá trị tài sản ước tính (đồng)
(24) = (23 - (21)</t>
  </si>
  <si>
    <t>Quyền sử dụng đất tại thửa đất số: 317, tờ bản đồ số: 32 có địa chỉ: Thôn Nước Ngọt, xã Cam Lập, thành phố Cam Ranh, tỉnh Khánh Hòa theo Giấy chứng nhận quyền sử dụng đất, quyền sở hữu tài sản gắn liền với đất số: AA 02022297 do Chi nhánh văn phòng đăng ký đất đai tại Thành phố Cam Ranh cấp ngày 29/5/2025 cho Bà Tô Thị Lâm</t>
  </si>
  <si>
    <t>Quyền sử dụng đất ở tại nông thôn</t>
  </si>
  <si>
    <t>Quyền sử dụng đất trồng cây hằng năm khác</t>
  </si>
  <si>
    <t>Quyền sử dụng đất tại thửa đất số: 313, tờ bản đồ số: 32 có địa chỉ: Thôn Nước Ngọt, xã Cam Lập, thành phố Cam Ranh, tỉnh Khánh Hòa theo Giấy chứng nhận quyền sử dụng đất, quyền sở hữu tài sản gắn liền với đất số: AA 02022293 do Chi nhánh văn phòng đăng ký đất đai tại Thành phố Cam Ranh cấp ngày 29/5/2025 cho Bà Tô Thị Lâm</t>
  </si>
  <si>
    <t>Tổng cộng</t>
  </si>
  <si>
    <t>Làm tròn</t>
  </si>
  <si>
    <t>(Bằng chữ: Mười tỷ, tám trăm chín mươi tám triệu đồng chẵn./.)</t>
  </si>
  <si>
    <t>Quyền sử dụng đất tại thửa đất số: 309, tờ bản đồ số: 32 có địa chỉ: Thôn Nước Ngọt, xã Cam Lập, thành phố Cam Ranh, tỉnh Khánh Hòa theo Giấy chứng nhận quyền sử dụng đất, quyền sở hữu tài sản gắn liền với đất số: AA 02022289 do Chi nhánh văn phòng đăng ký đất đai tại Thành phố Cam Ranh cấp ngày 29/5/2025 cho Bà Tô Thị Lâm</t>
  </si>
  <si>
    <t>Quyền sử dụng đất tại thửa đất số: 310, tờ bản đồ số: 32 có địa chỉ: Thôn Nước Ngọt, xã Cam Lập, thành phố Cam Ranh, tỉnh Khánh Hòa theo Giấy chứng nhận quyền sử dụng đất, quyền sở hữu tài sản gắn liền với đất số: AA 02022290 do Chi nhánh văn phòng đăng ký đất đai tại Thành phố Cam Ranh cấp ngày 29/5/2025 cho Bà Tô Thị Lâm</t>
  </si>
  <si>
    <t>Quyền sử dụng đất tại thửa đất số: 311, tờ bản đồ số: 32 có địa chỉ: Thôn Nước Ngọt, xã Cam Lập, thành phố Cam Ranh, tỉnh Khánh Hòa theo Giấy chứng nhận quyền sử dụng đất, quyền sở hữu tài sản gắn liền với đất số: AA 02022291 do Chi nhánh văn phòng đăng ký đất đai tại Thành phố Cam Ranh cấp ngày 29/5/2025 cho Bà Tô Thị Lâm</t>
  </si>
  <si>
    <t>Quyền sử dụng đất tại thửa đất số: 312, tờ bản đồ số: 32 có địa chỉ: Thôn Nước Ngọt, xã Cam Lập, thành phố Cam Ranh, tỉnh Khánh Hòa theo Giấy chứng nhận quyền sử dụng đất, quyền sở hữu tài sản gắn liền với đất số: AA 02022292 do Chi nhánh văn phòng đăng ký đất đai tại Thành phố Cam Ranh cấp ngày 29/5/2025 cho Bà Tô Thị Lâm</t>
  </si>
  <si>
    <t>Quyền sử dụng đất tại thửa đất số: 314, tờ bản đồ số: 32 có địa chỉ: Thôn Nước Ngọt, xã Cam Lập, thành phố Cam Ranh, tỉnh Khánh Hòa theo Giấy chứng nhận quyền sử dụng đất, quyền sở hữu tài sản gắn liền với đất số: AA 02022294 do Chi nhánh văn phòng đăng ký đất đai tại Thành phố Cam Ranh cấp ngày 29/5/2025 cho Bà Tô Thị Lâm</t>
  </si>
  <si>
    <t>Quyền sử dụng đất tại thửa đất số: 315, tờ bản đồ số: 32 có địa chỉ: Thôn Nước Ngọt, xã Cam Lập, thành phố Cam Ranh, tỉnh Khánh Hòa theo Giấy chứng nhận quyền sử dụng đất, quyền sở hữu tài sản gắn liền với đất số: AA 02022295 do Chi nhánh văn phòng đăng ký đất đai tại Thành phố Cam Ranh cấp ngày 29/5/2025 cho Bà Tô Thị Lâm</t>
  </si>
  <si>
    <t>Quyền sử dụng đất tại thửa đất số: 316, tờ bản đồ số: 32 có địa chỉ: Thôn Nước Ngọt, xã Cam Lập, thành phố Cam Ranh, tỉnh Khánh Hòa theo Giấy chứng nhận quyền sử dụng đất, quyền sở hữu tài sản gắn liền với đất số: AA 02022296 do Chi nhánh văn phòng đăng ký đất đai tại Thành phố Cam Ranh cấp ngày 29/5/2025 cho Bà Tô Thị Lâm</t>
  </si>
  <si>
    <t>Quyền sử dụng đất tại thửa đất số: 318, tờ bản đồ số: 32 có địa chỉ: Thôn Nước Ngọt, xã Cam Lập, thành phố Cam Ranh, tỉnh Khánh Hòa theo Giấy chứng nhận quyền sử dụng đất, quyền sở hữu tài sản gắn liền với đất số: AA 02022298 do Chi nhánh văn phòng đăng ký đất đai tại Thành phố Cam Ranh cấp ngày 29/5/2025 cho Bà Tô Thị Lâm</t>
  </si>
  <si>
    <r>
      <t xml:space="preserve">Thôn Nước Ngọt, xã Cam Lập, thành phố Cam Ranh, tỉnh Khánh Hòa. </t>
    </r>
    <r>
      <rPr>
        <i/>
        <sz val="11"/>
        <color theme="1"/>
        <rFont val="Times New Roman"/>
        <family val="1"/>
      </rPr>
      <t>(Nay là xã Nam Cam Ranh, tỉnh Khánh Hoà)</t>
    </r>
  </si>
  <si>
    <t>Vị trí 1 đường DT702, giao thông thuận tiện</t>
  </si>
  <si>
    <t>Bên trong</t>
  </si>
  <si>
    <r>
      <t xml:space="preserve">Thôn Nước Ngọt, xã Cam Lập, thành phố Cam Ranh, tỉnh Khánh Hòa. </t>
    </r>
    <r>
      <rPr>
        <i/>
        <sz val="11"/>
        <color rgb="FFFF0000"/>
        <rFont val="Times New Roman"/>
        <family val="1"/>
      </rPr>
      <t>(Nay là xã Nam Cam Ranh, tỉnh Khánh Hoà)</t>
    </r>
  </si>
  <si>
    <t>SĐT: 09269.09299</t>
  </si>
  <si>
    <t>https://www.google.com/maps/place/11%C2%B048'54.0%22N+109%C2%B007'45.4%22E/@11.8141416,109.128615,242m/data=!3m1!1e3!4m4!3m3!8m2!3d11.8150031!4d109.1292673!5m1!1e1?entry=ttu&amp;g_ep=EgoyMDI2MDEwNi4wIKXMDSoKLDEwMDc5MjA3M0gBUAM%3D</t>
  </si>
  <si>
    <t>https://www.google.com/maps/@11.8140698,109.1307354,574m/data=!3m1!1e3!5m1!1e1?entry=ttu&amp;g_ep=EgoyMDI2MDEwNi4wIKXMDSoKLDEwMDc5MjA3M0gBUAM%3D</t>
  </si>
  <si>
    <t>20m</t>
  </si>
  <si>
    <t>Đường nhựa</t>
  </si>
  <si>
    <t>Đường bê tông</t>
  </si>
  <si>
    <t>https://www.google.com/maps?q=11.8116010,109.1240732&amp;entry=gps&amp;lucs=,94275415,94284508,94224825,94227247,94227248,94231188,94280568,47071704,47069508,94218641,94282134,94203019,47084304,94286869&amp;g_ep=CAISEjI1LjQ3LjAuODMzNTQyOTMwMBgAINeCAyp-LDk0Mjc1NDE1LDk0Mjg0NTA4LDk0MjI0ODI1LDk0MjI3MjQ3LDk0MjI3MjQ4LDk0MjMxMTg4LDk0MjgwNTY4LDQ3MDcxNzA0LDQ3MDY5NTA4LDk0MjE4NjQxLDk0MjgyMTM0LDk0MjAzMDE5LDQ3MDg0MzA0LDk0Mjg2ODY5QgJWTg%3D%3D&amp;skid=4a3bf615-6b23-4e23-a660-3cb41aaf0b92&amp;g_st=ipc</t>
  </si>
  <si>
    <t>SĐT: 0971463319</t>
  </si>
  <si>
    <t>Đơn giá cơ sở (đồng/m²)</t>
  </si>
  <si>
    <t>Mặt tiền</t>
  </si>
  <si>
    <t>Hình dáng</t>
  </si>
  <si>
    <t>Đa giác - Hình thể xấu</t>
  </si>
  <si>
    <t>DT702</t>
  </si>
  <si>
    <t>Tỷ lệ điều chỉnh (%)</t>
  </si>
  <si>
    <t>Tổng lệ điều chỉnh (%)</t>
  </si>
  <si>
    <t>Đơn giá thẩm định (đồng/m²)</t>
  </si>
  <si>
    <r>
      <t xml:space="preserve">Thửa đất số 317, tờ bản đồ số 32; địa chỉ: Thôn Nước Ngọt, xã Cam Lập, thành phố Cam Ranh, tỉnh Khánh Hòa. </t>
    </r>
    <r>
      <rPr>
        <i/>
        <sz val="11"/>
        <color theme="1"/>
        <rFont val="Times New Roman"/>
        <family val="1"/>
      </rPr>
      <t>(Nay là xã Nam Cam Ranh, tỉnh Khánh Hoà)</t>
    </r>
  </si>
  <si>
    <t>Đường tiếp giáp</t>
  </si>
  <si>
    <t>Lô thường</t>
  </si>
  <si>
    <r>
      <t xml:space="preserve">Quyền sử dụng đất tại thửa đất số: 317, tờ bản đồ số: 32 có địa chỉ: Thôn Nước Ngọt, xã Cam Lập, thành phố Cam Ranh, tỉnh Khánh Hòa </t>
    </r>
    <r>
      <rPr>
        <b/>
        <i/>
        <sz val="12"/>
        <rFont val="Times New Roman"/>
        <family val="1"/>
      </rPr>
      <t xml:space="preserve">(Nay là xã Nam Cam Ranh, tỉnh Khánh Hoà) </t>
    </r>
    <r>
      <rPr>
        <b/>
        <sz val="12"/>
        <rFont val="Times New Roman"/>
        <family val="1"/>
      </rPr>
      <t>theo Giấy chứng nhận quyền sử dụng đất, quyền sở hữu tài sản gắn liền với đất số: AA 02022297 số vào sổ cấp GCN CN5203 do Chi nhánh văn phòng đăng ký đất đai tại Thành phố Cam Ranh cấp ngày 29/5/2025 cho Bà Tô Thị Lâm</t>
    </r>
  </si>
  <si>
    <r>
      <t xml:space="preserve">Quyền sử dụng đất tại thửa đất số: 314, tờ bản đồ số: 32 có địa chỉ: Thôn Nước Ngọt, xã Cam Lập, thành phố Cam Ranh, tỉnh Khánh Hòa </t>
    </r>
    <r>
      <rPr>
        <b/>
        <i/>
        <sz val="12"/>
        <rFont val="Times New Roman"/>
        <family val="1"/>
      </rPr>
      <t>(Nay là xã Nam Cam Ranh, tỉnh Khánh Hoà)</t>
    </r>
    <r>
      <rPr>
        <b/>
        <sz val="12"/>
        <rFont val="Times New Roman"/>
        <family val="1"/>
      </rPr>
      <t xml:space="preserve"> theo Giấy chứng nhận quyền sử dụng đất, quyền sở hữu tài sản gắn liền với đất số: AA 02022294 số vào sổ cấp GCN CN5200 do Chi nhánh văn phòng đăng ký đất đai tại Thành phố Cam Ranh cấp ngày 29/5/2025 cho Bà Tô Thị Lâm</t>
    </r>
  </si>
  <si>
    <r>
      <t xml:space="preserve">Quyền sử dụng đất tại thửa đất số: 315, tờ bản đồ số: 32 có địa chỉ: Thôn Nước Ngọt, xã Cam Lập, thành phố Cam Ranh, tỉnh Khánh Hòa </t>
    </r>
    <r>
      <rPr>
        <b/>
        <i/>
        <sz val="12"/>
        <rFont val="Times New Roman"/>
        <family val="1"/>
      </rPr>
      <t>(Nay là xã Nam Cam Ranh, tỉnh Khánh Hoà)</t>
    </r>
    <r>
      <rPr>
        <b/>
        <sz val="12"/>
        <rFont val="Times New Roman"/>
        <family val="1"/>
      </rPr>
      <t xml:space="preserve"> theo Giấy chứng nhận quyền sử dụng đất, quyền sở hữu tài sản gắn liền với đất số: AA 02022295 số vào sổ cấp GCN CN5201 do Chi nhánh văn phòng đăng ký đất đai tại Thành phố Cam Ranh cấp ngày 29/5/2025 cho Bà Tô Thị Lâm</t>
    </r>
  </si>
  <si>
    <r>
      <t xml:space="preserve">Quyền sử dụng đất tại thửa đất số: 316, tờ bản đồ số: 32 có địa chỉ: Thôn Nước Ngọt, xã Cam Lập, thành phố Cam Ranh, tỉnh Khánh Hòa </t>
    </r>
    <r>
      <rPr>
        <b/>
        <i/>
        <sz val="12"/>
        <rFont val="Times New Roman"/>
        <family val="1"/>
      </rPr>
      <t>(Nay là xã Nam Cam Ranh, tỉnh Khánh Hoà)</t>
    </r>
    <r>
      <rPr>
        <b/>
        <sz val="12"/>
        <rFont val="Times New Roman"/>
        <family val="1"/>
      </rPr>
      <t xml:space="preserve"> theo Giấy chứng nhận quyền sử dụng đất, quyền sở hữu tài sản gắn liền với đất số: AA 02022296  số vào sổ cấp GCN CN5202 do Chi nhánh văn phòng đăng ký đất đai tại Thành phố Cam Ranh cấp ngày 29/5/2025 cho Bà Tô Thị Lâm</t>
    </r>
  </si>
  <si>
    <r>
      <t xml:space="preserve">Quyền sử dụng đất tại thửa đất số: 318, tờ bản đồ số: 32 có địa chỉ: Thôn Nước Ngọt, xã Cam Lập, thành phố Cam Ranh, tỉnh Khánh Hòa </t>
    </r>
    <r>
      <rPr>
        <b/>
        <i/>
        <sz val="12"/>
        <rFont val="Times New Roman"/>
        <family val="1"/>
      </rPr>
      <t xml:space="preserve">(Nay là xã Nam Cam Ranh, tỉnh Khánh Hoà) </t>
    </r>
    <r>
      <rPr>
        <b/>
        <sz val="12"/>
        <rFont val="Times New Roman"/>
        <family val="1"/>
      </rPr>
      <t>theo Giấy chứng nhận quyền sử dụng đất, quyền sở hữu tài sản gắn liền với đất số: AA 02022298 số vào sổ cấp GCN CN5204 do Chi nhánh văn phòng đăng ký đất đai tại Thành phố Cam Ranh cấp ngày 29/5/2025 cho Bà Tô Thị Lâm.</t>
    </r>
  </si>
  <si>
    <r>
      <t xml:space="preserve">Quyền sử dụng đất tại thửa đất số: 313, tờ bản đồ số: 32 có địa chỉ: Thôn Nước Ngọt, xã Cam Lập, thành phố Cam Ranh, tỉnh Khánh Hòa </t>
    </r>
    <r>
      <rPr>
        <b/>
        <i/>
        <sz val="12"/>
        <rFont val="Times New Roman"/>
        <family val="1"/>
      </rPr>
      <t>(Nay là xã Nam Cam Ranh, tỉnh Khánh Hoà)</t>
    </r>
    <r>
      <rPr>
        <b/>
        <sz val="12"/>
        <rFont val="Times New Roman"/>
        <family val="1"/>
      </rPr>
      <t xml:space="preserve"> theo Giấy chứng nhận quyền sử dụng đất, quyền sở hữu tài sản gắn liền với đất số: AA 02022293 số vào sổ cấp GCN CN5209 do Chi nhánh văn phòng đăng ký đất đai tại Thành phố Cam Ranh cấp ngày 29/5/2025 cho Bà Tô Thị Lâm.</t>
    </r>
  </si>
  <si>
    <t>Chỉ tiêu</t>
  </si>
  <si>
    <t>Diện tích</t>
  </si>
  <si>
    <t>Tổng hợp Tỷ lệ điều chỉnh</t>
  </si>
  <si>
    <t>Thửa đất số: 313, tờ bản đồ số: 32 theo GCN số AA02022293</t>
  </si>
  <si>
    <t>Thửa đất số: 309, tờ bản đồ số: 32 theo GCN số AA02022289</t>
  </si>
  <si>
    <t>Tương đối vuông vức</t>
  </si>
  <si>
    <t>Đơn giá tham chiếu (đồng/m2)</t>
  </si>
  <si>
    <t>Đơn giá thẩm định (đồng/m2)</t>
  </si>
  <si>
    <t>Thửa đất số: 310, tờ bản đồ số: 32 theo GCN số AA02022290</t>
  </si>
  <si>
    <t>Thửa đất số: 311, tờ bản đồ số: 32 theo GCN số AA02022291</t>
  </si>
  <si>
    <t>Thửa đất số: 312, tờ bản đồ số: 32 theo GCN số AA02022292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</si>
</sst>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 _₫_-;\-* #,##0.00\ _₫_-;_-* &quot;-&quot;??\ _₫_-;_-@_-"/>
    <numFmt numFmtId="164" formatCode="_(* #,##0.00_);_(* \(#,##0.00\);_(* &quot;-&quot;??_);_(@_)"/>
    <numFmt numFmtId="165" formatCode="_-* #,##0\ _₫_-;\-* #,##0\ _₫_-;_-* &quot;-&quot;??\ _₫_-;_-@_-"/>
    <numFmt numFmtId="166" formatCode="_-* #,##0_-;\-* #,##0_-;_-* &quot;-&quot;??_-;_-@_-"/>
    <numFmt numFmtId="167" formatCode="#,##0_ ;\-#,##0\ "/>
    <numFmt numFmtId="168" formatCode="0.0%"/>
    <numFmt numFmtId="169" formatCode="_(* #,##0_);_(* \(#,##0\);_(* &quot;-&quot;??_);_(@_)"/>
    <numFmt numFmtId="170" formatCode="0.0"/>
    <numFmt numFmtId="171" formatCode="_-* #,##0.0_-;\-* #,##0.0_-;_-* &quot;-&quot;??_-;_-@_-"/>
    <numFmt numFmtId="172" formatCode="0_);\(0\)"/>
    <numFmt numFmtId="173" formatCode="_(* #,##0.000_);_(* \(#,##0.000\);_(* &quot;-&quot;??_);_(@_)"/>
    <numFmt numFmtId="174" formatCode="_(* #,##0.0_);_(* \(#,##0.0\);_(* &quot;-&quot;??_);_(@_)"/>
    <numFmt numFmtId="175" formatCode="_-* #.##0.00\ _₫_-;\-* #.##0.00\ _₫_-;_-* &quot;-&quot;??\ _₫_-;_-@_-"/>
    <numFmt numFmtId="176" formatCode="#,##0;[Red]#,##0"/>
    <numFmt numFmtId="177" formatCode="0.000"/>
    <numFmt numFmtId="178" formatCode="#,##0.0;[Red]#,##0.0"/>
    <numFmt numFmtId="179" formatCode="_(* #,##0.0000_);_(* \(#,##0.0000\);_(* &quot;-&quot;??_);_(@_)"/>
    <numFmt numFmtId="180" formatCode="#,##0.0"/>
  </numFmts>
  <fonts count="59">
    <font>
      <sz val="12"/>
      <color theme="1"/>
      <name val="Times New Roman"/>
      <family val="2"/>
    </font>
    <font>
      <sz val="11"/>
      <color theme="1"/>
      <name val="Calibri"/>
      <family val="2"/>
      <charset val="163"/>
      <scheme val="minor"/>
    </font>
    <font>
      <sz val="11"/>
      <color theme="1"/>
      <name val="Calibri"/>
      <family val="2"/>
      <scheme val="minor"/>
    </font>
    <font>
      <sz val="12"/>
      <color theme="1"/>
      <name val="Times New Roman"/>
      <family val="2"/>
    </font>
    <font>
      <sz val="11"/>
      <name val="Times New Roman"/>
      <family val="1"/>
    </font>
    <font>
      <b/>
      <sz val="11"/>
      <name val="Times New Roman"/>
      <family val="1"/>
    </font>
    <font>
      <u/>
      <sz val="11"/>
      <color indexed="12"/>
      <name val="Arial"/>
      <family val="2"/>
    </font>
    <font>
      <sz val="11"/>
      <color indexed="8"/>
      <name val="Times New Roman"/>
      <family val="1"/>
    </font>
    <font>
      <sz val="12"/>
      <name val="Times New Roman"/>
      <family val="1"/>
    </font>
    <font>
      <sz val="11"/>
      <color theme="1"/>
      <name val="Times New Roman"/>
      <family val="1"/>
    </font>
    <font>
      <sz val="11"/>
      <color theme="1"/>
      <name val="Calibri"/>
      <family val="2"/>
      <charset val="163"/>
      <scheme val="minor"/>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8"/>
      <name val="Times New Roman"/>
      <family val="2"/>
    </font>
    <font>
      <i/>
      <sz val="12"/>
      <color theme="1"/>
      <name val="Times New Roman"/>
      <family val="1"/>
    </font>
    <font>
      <b/>
      <sz val="12"/>
      <name val="Times New Roman"/>
      <family val="1"/>
    </font>
    <font>
      <u/>
      <sz val="11"/>
      <color theme="10"/>
      <name val="Arial"/>
      <family val="2"/>
      <charset val="163"/>
    </font>
    <font>
      <u/>
      <sz val="11"/>
      <color theme="10"/>
      <name val="Calibri"/>
      <family val="2"/>
      <scheme val="minor"/>
    </font>
    <font>
      <b/>
      <i/>
      <sz val="12"/>
      <color theme="1"/>
      <name val="Times New Roman"/>
      <family val="1"/>
    </font>
    <font>
      <b/>
      <sz val="16"/>
      <color theme="1"/>
      <name val="Times New Roman"/>
      <family val="1"/>
    </font>
    <font>
      <b/>
      <i/>
      <u/>
      <sz val="12"/>
      <color theme="1"/>
      <name val="Times New Roman"/>
      <family val="1"/>
    </font>
    <font>
      <sz val="12"/>
      <color indexed="8"/>
      <name val="Times New Roman"/>
      <family val="2"/>
    </font>
    <font>
      <sz val="11"/>
      <color indexed="8"/>
      <name val="Calibri"/>
      <family val="2"/>
    </font>
    <font>
      <b/>
      <sz val="12"/>
      <color indexed="8"/>
      <name val="Times New Roman"/>
      <family val="1"/>
    </font>
    <font>
      <b/>
      <i/>
      <sz val="12"/>
      <color rgb="FFFF0000"/>
      <name val="Times New Roman"/>
      <family val="1"/>
    </font>
    <font>
      <b/>
      <i/>
      <sz val="12"/>
      <color theme="8"/>
      <name val="Times New Roman"/>
      <family val="1"/>
    </font>
    <font>
      <sz val="10"/>
      <name val="Arial"/>
      <family val="2"/>
    </font>
    <font>
      <sz val="10"/>
      <name val="Times New Roman"/>
      <family val="2"/>
      <charset val="163"/>
    </font>
    <font>
      <sz val="10"/>
      <name val="VNI-Times"/>
    </font>
    <font>
      <b/>
      <sz val="11"/>
      <color indexed="12"/>
      <name val="Times New Roman"/>
      <family val="1"/>
    </font>
    <font>
      <sz val="11"/>
      <color indexed="12"/>
      <name val="Times New Roman"/>
      <family val="1"/>
    </font>
    <font>
      <sz val="10"/>
      <name val=".VnArial"/>
      <family val="2"/>
    </font>
    <font>
      <u/>
      <sz val="12"/>
      <color theme="10"/>
      <name val="Times New Roman"/>
      <family val="1"/>
    </font>
    <font>
      <b/>
      <sz val="11"/>
      <color theme="1"/>
      <name val="Times New Roman"/>
      <family val="1"/>
    </font>
    <font>
      <sz val="12"/>
      <color theme="0"/>
      <name val="Times New Roman"/>
      <family val="1"/>
    </font>
    <font>
      <u/>
      <sz val="12"/>
      <color indexed="12"/>
      <name val="Times New Roman"/>
      <family val="1"/>
    </font>
    <font>
      <sz val="11"/>
      <color rgb="FFFF0000"/>
      <name val="Times New Roman"/>
      <family val="1"/>
    </font>
    <font>
      <sz val="12"/>
      <color rgb="FFFF0000"/>
      <name val="Times New Roman"/>
      <family val="1"/>
    </font>
    <font>
      <b/>
      <sz val="11"/>
      <color rgb="FFFF0000"/>
      <name val="Times New Roman"/>
      <family val="1"/>
    </font>
    <font>
      <sz val="11"/>
      <color rgb="FF000000"/>
      <name val="Times New Roman"/>
      <family val="1"/>
    </font>
    <font>
      <sz val="12"/>
      <color rgb="FFFF0000"/>
      <name val="Times New Roman"/>
      <family val="2"/>
    </font>
    <font>
      <u/>
      <sz val="11"/>
      <color indexed="12"/>
      <name val="Times New Roman"/>
      <family val="1"/>
    </font>
    <font>
      <i/>
      <sz val="11"/>
      <color theme="1"/>
      <name val="Times New Roman"/>
      <family val="1"/>
    </font>
    <font>
      <sz val="11"/>
      <color rgb="FFFF0000"/>
      <name val="Times New Roman"/>
      <family val="1"/>
      <charset val="163"/>
    </font>
    <font>
      <b/>
      <sz val="11"/>
      <color rgb="FFFF0000"/>
      <name val="Times New Roman"/>
      <family val="1"/>
      <charset val="163"/>
    </font>
    <font>
      <u/>
      <sz val="11"/>
      <color rgb="FFFF0000"/>
      <name val="Arial"/>
      <family val="2"/>
      <charset val="163"/>
    </font>
    <font>
      <i/>
      <sz val="11"/>
      <color rgb="FFFF0000"/>
      <name val="Times New Roman"/>
      <family val="1"/>
      <charset val="163"/>
    </font>
    <font>
      <i/>
      <sz val="11"/>
      <color rgb="FFFF0000"/>
      <name val="Times New Roman"/>
      <family val="1"/>
    </font>
    <font>
      <b/>
      <sz val="10"/>
      <color theme="1"/>
      <name val="Times New Roman"/>
      <family val="1"/>
    </font>
    <font>
      <b/>
      <sz val="10"/>
      <color rgb="FFFF0000"/>
      <name val="Times New Roman"/>
      <family val="1"/>
    </font>
    <font>
      <sz val="10"/>
      <color theme="1"/>
      <name val="Times New Roman"/>
      <family val="1"/>
    </font>
    <font>
      <sz val="10"/>
      <color rgb="FF000000"/>
      <name val="Times New Roman"/>
      <family val="1"/>
    </font>
    <font>
      <sz val="10"/>
      <color rgb="FFFF0000"/>
      <name val="Times New Roman"/>
      <family val="1"/>
    </font>
    <font>
      <b/>
      <sz val="10"/>
      <color rgb="FF000000"/>
      <name val="Times New Roman"/>
      <family val="1"/>
    </font>
    <font>
      <b/>
      <i/>
      <sz val="10"/>
      <color rgb="FF000000"/>
      <name val="Times New Roman"/>
      <family val="1"/>
    </font>
    <font>
      <b/>
      <i/>
      <sz val="12"/>
      <name val="Times New Roman"/>
      <family val="1"/>
    </font>
    <font>
      <b/>
      <sz val="11"/>
      <color rgb="FF000000"/>
      <name val="Times New Roman"/>
      <family val="1"/>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9"/>
        <bgColor indexed="64"/>
      </patternFill>
    </fill>
    <fill>
      <patternFill patternType="solid">
        <fgColor indexed="52"/>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theme="6" tint="0.39997558519241921"/>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style="thin">
        <color indexed="64"/>
      </right>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9">
    <xf numFmtId="0" fontId="0" fillId="0" borderId="0"/>
    <xf numFmtId="164" fontId="3"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alignment vertical="top"/>
      <protection locked="0"/>
    </xf>
    <xf numFmtId="0" fontId="10" fillId="0" borderId="0"/>
    <xf numFmtId="43" fontId="10"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9" fontId="2" fillId="0" borderId="0" applyFont="0" applyFill="0" applyBorder="0" applyAlignment="0" applyProtection="0"/>
    <xf numFmtId="0" fontId="9" fillId="0" borderId="0"/>
    <xf numFmtId="164" fontId="24" fillId="0" borderId="0" applyFont="0" applyFill="0" applyBorder="0" applyAlignment="0" applyProtection="0"/>
    <xf numFmtId="0" fontId="28" fillId="0" borderId="0"/>
    <xf numFmtId="0" fontId="30" fillId="0" borderId="0"/>
    <xf numFmtId="0" fontId="33" fillId="0" borderId="0"/>
    <xf numFmtId="0" fontId="1" fillId="0" borderId="0"/>
    <xf numFmtId="175" fontId="1" fillId="0" borderId="0" applyFont="0" applyFill="0" applyBorder="0" applyAlignment="0" applyProtection="0"/>
  </cellStyleXfs>
  <cellXfs count="467">
    <xf numFmtId="0" fontId="0" fillId="0" borderId="0" xfId="0"/>
    <xf numFmtId="0" fontId="12" fillId="0" borderId="0" xfId="4" applyFont="1"/>
    <xf numFmtId="0" fontId="11" fillId="0" borderId="0" xfId="4" applyFont="1" applyAlignment="1">
      <alignment horizontal="left"/>
    </xf>
    <xf numFmtId="0" fontId="11" fillId="0" borderId="1" xfId="4" applyFont="1" applyBorder="1" applyAlignment="1">
      <alignment horizontal="center" vertical="center" wrapText="1"/>
    </xf>
    <xf numFmtId="0" fontId="12" fillId="0" borderId="1" xfId="4" applyFont="1" applyBorder="1" applyAlignment="1">
      <alignment horizontal="center" vertical="center" wrapText="1"/>
    </xf>
    <xf numFmtId="164" fontId="12" fillId="0" borderId="0" xfId="4" applyNumberFormat="1" applyFont="1"/>
    <xf numFmtId="0" fontId="11" fillId="0" borderId="0" xfId="4" applyFont="1" applyAlignment="1">
      <alignment vertical="center" wrapText="1"/>
    </xf>
    <xf numFmtId="0" fontId="12" fillId="0" borderId="0" xfId="4" applyFont="1" applyAlignment="1">
      <alignment vertical="center" wrapText="1"/>
    </xf>
    <xf numFmtId="0" fontId="12" fillId="0" borderId="0" xfId="4" applyFont="1" applyAlignment="1">
      <alignment horizontal="left" vertical="center" wrapText="1"/>
    </xf>
    <xf numFmtId="0" fontId="12" fillId="0" borderId="0" xfId="4" applyFont="1" applyAlignment="1">
      <alignment horizontal="center" vertical="center" wrapText="1"/>
    </xf>
    <xf numFmtId="0" fontId="14" fillId="0" borderId="0" xfId="0" applyFont="1"/>
    <xf numFmtId="0" fontId="13" fillId="0" borderId="0" xfId="0" applyFont="1"/>
    <xf numFmtId="0" fontId="11" fillId="0" borderId="0" xfId="4" applyFont="1" applyAlignment="1">
      <alignment horizontal="center" vertical="center" wrapText="1"/>
    </xf>
    <xf numFmtId="0" fontId="17" fillId="2" borderId="1" xfId="7" applyFont="1" applyFill="1" applyBorder="1" applyAlignment="1">
      <alignment horizontal="center" vertical="center" wrapText="1"/>
    </xf>
    <xf numFmtId="0" fontId="8" fillId="2" borderId="1" xfId="7" quotePrefix="1" applyFont="1" applyFill="1" applyBorder="1" applyAlignment="1">
      <alignment horizontal="center" vertical="center" wrapText="1"/>
    </xf>
    <xf numFmtId="0" fontId="8" fillId="2" borderId="1" xfId="7" applyFont="1" applyFill="1" applyBorder="1" applyAlignment="1">
      <alignment horizontal="left" vertical="center" wrapText="1"/>
    </xf>
    <xf numFmtId="0" fontId="12" fillId="0" borderId="0" xfId="0" applyFont="1" applyAlignment="1">
      <alignment horizontal="left" vertical="center"/>
    </xf>
    <xf numFmtId="0" fontId="11" fillId="0" borderId="0" xfId="0" applyFont="1" applyAlignment="1">
      <alignment vertical="center"/>
    </xf>
    <xf numFmtId="0" fontId="12" fillId="0" borderId="0" xfId="0" quotePrefix="1"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0" fillId="0" borderId="0" xfId="0" applyAlignment="1">
      <alignment vertical="center"/>
    </xf>
    <xf numFmtId="0" fontId="11" fillId="0" borderId="0" xfId="0" applyFont="1" applyAlignment="1">
      <alignment horizontal="center" vertical="center"/>
    </xf>
    <xf numFmtId="0" fontId="0" fillId="0" borderId="1" xfId="0" applyBorder="1" applyAlignment="1">
      <alignment vertical="center"/>
    </xf>
    <xf numFmtId="0" fontId="22" fillId="0" borderId="0" xfId="0" applyFont="1" applyAlignment="1">
      <alignment vertical="center"/>
    </xf>
    <xf numFmtId="0" fontId="16" fillId="0" borderId="0" xfId="0" applyFont="1" applyAlignment="1">
      <alignment vertical="center"/>
    </xf>
    <xf numFmtId="0" fontId="0" fillId="4" borderId="0" xfId="0" applyFill="1" applyAlignment="1">
      <alignment vertical="center"/>
    </xf>
    <xf numFmtId="0" fontId="23" fillId="0" borderId="0" xfId="12" applyFont="1"/>
    <xf numFmtId="169" fontId="25" fillId="0" borderId="0" xfId="13" applyNumberFormat="1" applyFont="1" applyAlignment="1">
      <alignment horizontal="center"/>
    </xf>
    <xf numFmtId="0" fontId="7" fillId="0" borderId="0" xfId="12" applyFont="1" applyAlignment="1">
      <alignment horizontal="center"/>
    </xf>
    <xf numFmtId="169" fontId="7" fillId="0" borderId="0" xfId="13" applyNumberFormat="1" applyFont="1"/>
    <xf numFmtId="169" fontId="7" fillId="0" borderId="0" xfId="13" applyNumberFormat="1" applyFont="1" applyAlignment="1">
      <alignment horizontal="center"/>
    </xf>
    <xf numFmtId="0" fontId="7" fillId="0" borderId="0" xfId="12" applyFont="1"/>
    <xf numFmtId="0" fontId="26" fillId="0" borderId="0" xfId="12" applyFont="1"/>
    <xf numFmtId="0" fontId="27" fillId="0" borderId="0" xfId="12" applyFont="1"/>
    <xf numFmtId="169" fontId="29" fillId="5" borderId="0" xfId="14" applyNumberFormat="1" applyFont="1" applyFill="1"/>
    <xf numFmtId="0" fontId="31" fillId="6" borderId="0" xfId="15" applyFont="1" applyFill="1" applyAlignment="1" applyProtection="1">
      <alignment horizontal="center"/>
      <protection hidden="1"/>
    </xf>
    <xf numFmtId="0" fontId="5" fillId="7" borderId="0" xfId="15" applyFont="1" applyFill="1" applyAlignment="1" applyProtection="1">
      <alignment horizontal="center"/>
      <protection hidden="1"/>
    </xf>
    <xf numFmtId="0" fontId="5" fillId="8" borderId="0" xfId="15" applyFont="1" applyFill="1" applyAlignment="1" applyProtection="1">
      <alignment horizontal="center"/>
      <protection hidden="1"/>
    </xf>
    <xf numFmtId="0" fontId="5" fillId="9" borderId="0" xfId="15" applyFont="1" applyFill="1" applyAlignment="1" applyProtection="1">
      <alignment horizontal="center"/>
      <protection hidden="1"/>
    </xf>
    <xf numFmtId="0" fontId="5" fillId="10" borderId="0" xfId="15" applyFont="1" applyFill="1" applyAlignment="1" applyProtection="1">
      <alignment horizontal="center"/>
      <protection hidden="1"/>
    </xf>
    <xf numFmtId="0" fontId="29" fillId="5" borderId="0" xfId="14" applyFont="1" applyFill="1"/>
    <xf numFmtId="0" fontId="4" fillId="6" borderId="0" xfId="15" applyFont="1" applyFill="1" applyProtection="1">
      <protection hidden="1"/>
    </xf>
    <xf numFmtId="0" fontId="32" fillId="7" borderId="0" xfId="15" applyFont="1" applyFill="1" applyProtection="1">
      <protection hidden="1"/>
    </xf>
    <xf numFmtId="0" fontId="32" fillId="8" borderId="0" xfId="15" applyFont="1" applyFill="1" applyProtection="1">
      <protection hidden="1"/>
    </xf>
    <xf numFmtId="0" fontId="32" fillId="9" borderId="0" xfId="15" applyFont="1" applyFill="1" applyProtection="1">
      <protection hidden="1"/>
    </xf>
    <xf numFmtId="0" fontId="32" fillId="10" borderId="0" xfId="15" applyFont="1" applyFill="1" applyProtection="1">
      <protection hidden="1"/>
    </xf>
    <xf numFmtId="0" fontId="5" fillId="5" borderId="0" xfId="14" applyFont="1" applyFill="1"/>
    <xf numFmtId="0" fontId="32" fillId="7" borderId="0" xfId="16" applyFont="1" applyFill="1" applyAlignment="1" applyProtection="1">
      <alignment horizontal="center"/>
      <protection hidden="1"/>
    </xf>
    <xf numFmtId="0" fontId="32" fillId="8" borderId="0" xfId="16" applyFont="1" applyFill="1" applyAlignment="1" applyProtection="1">
      <alignment horizontal="center"/>
      <protection hidden="1"/>
    </xf>
    <xf numFmtId="0" fontId="32" fillId="9" borderId="0" xfId="16" applyFont="1" applyFill="1" applyAlignment="1" applyProtection="1">
      <alignment horizontal="center"/>
      <protection hidden="1"/>
    </xf>
    <xf numFmtId="0" fontId="32" fillId="10" borderId="0" xfId="16" applyFont="1" applyFill="1" applyAlignment="1" applyProtection="1">
      <alignment horizontal="center"/>
      <protection hidden="1"/>
    </xf>
    <xf numFmtId="0" fontId="32" fillId="7" borderId="0" xfId="15" applyFont="1" applyFill="1" applyAlignment="1" applyProtection="1">
      <alignment horizontal="center"/>
      <protection hidden="1"/>
    </xf>
    <xf numFmtId="0" fontId="32" fillId="8" borderId="0" xfId="15" applyFont="1" applyFill="1" applyAlignment="1" applyProtection="1">
      <alignment horizontal="center"/>
      <protection hidden="1"/>
    </xf>
    <xf numFmtId="0" fontId="32" fillId="9" borderId="0" xfId="15" applyFont="1" applyFill="1" applyAlignment="1" applyProtection="1">
      <alignment horizontal="center"/>
      <protection hidden="1"/>
    </xf>
    <xf numFmtId="0" fontId="32" fillId="10" borderId="0" xfId="15" applyFont="1" applyFill="1" applyAlignment="1" applyProtection="1">
      <alignment horizontal="center"/>
      <protection hidden="1"/>
    </xf>
    <xf numFmtId="0" fontId="7" fillId="0" borderId="0" xfId="12" applyFont="1" applyAlignment="1">
      <alignment vertical="center"/>
    </xf>
    <xf numFmtId="0" fontId="4" fillId="0" borderId="0" xfId="15" applyFont="1" applyProtection="1">
      <protection hidden="1"/>
    </xf>
    <xf numFmtId="0" fontId="12" fillId="0" borderId="1" xfId="4" applyFont="1" applyBorder="1" applyAlignment="1">
      <alignment vertical="center" wrapText="1"/>
    </xf>
    <xf numFmtId="0" fontId="34" fillId="0" borderId="0" xfId="9" applyFont="1" applyAlignment="1" applyProtection="1">
      <alignment vertical="center"/>
    </xf>
    <xf numFmtId="9" fontId="12" fillId="0" borderId="1" xfId="11" applyFont="1" applyFill="1" applyBorder="1" applyAlignment="1">
      <alignment horizontal="center" vertical="center"/>
    </xf>
    <xf numFmtId="0" fontId="9" fillId="0" borderId="0" xfId="4" applyFont="1" applyAlignment="1">
      <alignment horizontal="center" vertical="center" wrapText="1"/>
    </xf>
    <xf numFmtId="0" fontId="9" fillId="0" borderId="0" xfId="4" applyFont="1" applyAlignment="1">
      <alignment vertical="center" wrapText="1"/>
    </xf>
    <xf numFmtId="0" fontId="9" fillId="0" borderId="0" xfId="4" applyFont="1"/>
    <xf numFmtId="0" fontId="12" fillId="0" borderId="0" xfId="7" applyFont="1"/>
    <xf numFmtId="49" fontId="12" fillId="0" borderId="0" xfId="7" applyNumberFormat="1" applyFont="1" applyAlignment="1">
      <alignment horizontal="center"/>
    </xf>
    <xf numFmtId="1" fontId="12" fillId="0" borderId="0" xfId="7" applyNumberFormat="1" applyFont="1" applyAlignment="1">
      <alignment horizontal="center"/>
    </xf>
    <xf numFmtId="0" fontId="12" fillId="0" borderId="0" xfId="0" applyFont="1" applyAlignment="1">
      <alignment vertical="center"/>
    </xf>
    <xf numFmtId="169" fontId="12" fillId="0" borderId="0" xfId="1" applyNumberFormat="1" applyFont="1" applyAlignment="1">
      <alignment vertical="center"/>
    </xf>
    <xf numFmtId="173" fontId="12" fillId="0" borderId="0" xfId="1" applyNumberFormat="1" applyFont="1" applyAlignment="1">
      <alignment vertical="center"/>
    </xf>
    <xf numFmtId="169" fontId="11" fillId="0" borderId="0" xfId="1" applyNumberFormat="1" applyFont="1" applyAlignment="1">
      <alignment vertical="center"/>
    </xf>
    <xf numFmtId="0" fontId="11" fillId="4" borderId="7" xfId="7" applyFont="1" applyFill="1" applyBorder="1"/>
    <xf numFmtId="0" fontId="36" fillId="0" borderId="0" xfId="7" applyFont="1"/>
    <xf numFmtId="169" fontId="36" fillId="0" borderId="0" xfId="1" applyNumberFormat="1" applyFont="1" applyAlignment="1">
      <alignment horizontal="center" vertical="center"/>
    </xf>
    <xf numFmtId="169" fontId="36" fillId="0" borderId="0" xfId="1" applyNumberFormat="1" applyFont="1"/>
    <xf numFmtId="0" fontId="8" fillId="0" borderId="0" xfId="7" applyFont="1"/>
    <xf numFmtId="0" fontId="11" fillId="0" borderId="0" xfId="4" applyFont="1" applyAlignment="1">
      <alignment horizontal="left" wrapText="1"/>
    </xf>
    <xf numFmtId="49" fontId="0" fillId="0" borderId="0" xfId="0" applyNumberFormat="1" applyAlignment="1">
      <alignment vertical="center"/>
    </xf>
    <xf numFmtId="0" fontId="12" fillId="0" borderId="0" xfId="4" applyFont="1" applyAlignment="1">
      <alignment wrapText="1"/>
    </xf>
    <xf numFmtId="169" fontId="12" fillId="0" borderId="0" xfId="1" applyNumberFormat="1" applyFont="1"/>
    <xf numFmtId="1" fontId="13" fillId="0" borderId="1" xfId="0" quotePrefix="1" applyNumberFormat="1" applyFont="1" applyBorder="1" applyAlignment="1">
      <alignment horizontal="center" vertical="center" wrapText="1"/>
    </xf>
    <xf numFmtId="0" fontId="13" fillId="0" borderId="1" xfId="0" applyFont="1" applyBorder="1" applyAlignment="1">
      <alignment vertical="center" wrapText="1"/>
    </xf>
    <xf numFmtId="0" fontId="13" fillId="0" borderId="1" xfId="0" quotePrefix="1" applyFont="1" applyBorder="1" applyAlignment="1">
      <alignment vertical="center" wrapText="1"/>
    </xf>
    <xf numFmtId="0" fontId="11" fillId="0" borderId="1" xfId="4" quotePrefix="1" applyFont="1" applyBorder="1" applyAlignment="1">
      <alignment horizontal="center" vertical="center" wrapText="1"/>
    </xf>
    <xf numFmtId="0" fontId="12" fillId="0" borderId="1" xfId="4" quotePrefix="1" applyFont="1" applyBorder="1" applyAlignment="1">
      <alignment horizontal="center" vertical="center" wrapText="1"/>
    </xf>
    <xf numFmtId="0" fontId="12" fillId="0" borderId="1" xfId="4" applyFont="1" applyBorder="1" applyAlignment="1">
      <alignment horizontal="left" vertical="center" wrapText="1"/>
    </xf>
    <xf numFmtId="0" fontId="12" fillId="0" borderId="1" xfId="4" quotePrefix="1" applyFont="1" applyBorder="1" applyAlignment="1">
      <alignment horizontal="left" vertical="center" wrapText="1"/>
    </xf>
    <xf numFmtId="0" fontId="13" fillId="0" borderId="1" xfId="0" applyFont="1" applyBorder="1" applyAlignment="1">
      <alignment horizontal="left" vertical="center" wrapText="1"/>
    </xf>
    <xf numFmtId="0" fontId="8" fillId="0" borderId="1" xfId="4" applyFont="1" applyBorder="1" applyAlignment="1">
      <alignment vertical="center" wrapText="1"/>
    </xf>
    <xf numFmtId="174" fontId="12" fillId="0" borderId="1" xfId="6"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7" applyFont="1" applyBorder="1" applyAlignment="1">
      <alignment horizontal="center" vertical="center" wrapText="1"/>
    </xf>
    <xf numFmtId="0" fontId="12" fillId="0" borderId="0" xfId="17" applyFont="1" applyAlignment="1">
      <alignment vertical="center" wrapText="1"/>
    </xf>
    <xf numFmtId="0" fontId="11" fillId="0" borderId="1" xfId="17" applyFont="1" applyBorder="1" applyAlignment="1">
      <alignment horizontal="center" vertical="center" wrapText="1"/>
    </xf>
    <xf numFmtId="0" fontId="12" fillId="0" borderId="1" xfId="17" applyFont="1" applyBorder="1" applyAlignment="1">
      <alignment vertical="center" wrapText="1"/>
    </xf>
    <xf numFmtId="0" fontId="11" fillId="0" borderId="1" xfId="17" applyFont="1" applyBorder="1" applyAlignment="1">
      <alignment vertical="center" wrapText="1"/>
    </xf>
    <xf numFmtId="0" fontId="11" fillId="0" borderId="1" xfId="17" quotePrefix="1" applyFont="1" applyBorder="1" applyAlignment="1">
      <alignment vertical="center" wrapText="1"/>
    </xf>
    <xf numFmtId="0" fontId="12" fillId="0" borderId="0" xfId="17" applyFont="1" applyAlignment="1">
      <alignment vertical="center"/>
    </xf>
    <xf numFmtId="0" fontId="16" fillId="0" borderId="0" xfId="17" applyFont="1" applyAlignment="1">
      <alignment horizontal="justify" vertical="center"/>
    </xf>
    <xf numFmtId="0" fontId="13" fillId="0" borderId="1" xfId="17" applyFont="1" applyBorder="1" applyAlignment="1">
      <alignment horizontal="right" vertical="center" wrapText="1"/>
    </xf>
    <xf numFmtId="0" fontId="12" fillId="0" borderId="1" xfId="17" quotePrefix="1" applyFont="1" applyBorder="1" applyAlignment="1">
      <alignment vertical="center" wrapText="1"/>
    </xf>
    <xf numFmtId="9" fontId="14" fillId="0" borderId="1" xfId="17" applyNumberFormat="1" applyFont="1" applyBorder="1" applyAlignment="1">
      <alignment horizontal="right" vertical="center" wrapText="1"/>
    </xf>
    <xf numFmtId="0" fontId="16" fillId="0" borderId="1" xfId="17" applyFont="1" applyBorder="1" applyAlignment="1">
      <alignment horizontal="center" vertical="center" wrapText="1"/>
    </xf>
    <xf numFmtId="0" fontId="12" fillId="0" borderId="1" xfId="17" applyFont="1" applyBorder="1" applyAlignment="1">
      <alignment horizontal="center" vertical="center"/>
    </xf>
    <xf numFmtId="0" fontId="12" fillId="0" borderId="1" xfId="17" applyFont="1" applyBorder="1" applyAlignment="1">
      <alignment horizontal="left" vertical="center"/>
    </xf>
    <xf numFmtId="9" fontId="13" fillId="0" borderId="1" xfId="17" applyNumberFormat="1" applyFont="1" applyBorder="1" applyAlignment="1">
      <alignment horizontal="center" vertical="center" wrapText="1"/>
    </xf>
    <xf numFmtId="0" fontId="13" fillId="0" borderId="1" xfId="17" applyFont="1" applyBorder="1" applyAlignment="1">
      <alignment horizontal="center" vertical="center" wrapText="1"/>
    </xf>
    <xf numFmtId="0" fontId="14" fillId="0" borderId="1" xfId="17" applyFont="1" applyBorder="1" applyAlignment="1">
      <alignment vertical="center" wrapText="1"/>
    </xf>
    <xf numFmtId="0" fontId="14" fillId="0" borderId="1" xfId="17" applyFont="1" applyBorder="1" applyAlignment="1">
      <alignment horizontal="center" vertical="center" wrapText="1"/>
    </xf>
    <xf numFmtId="9" fontId="14" fillId="0" borderId="1" xfId="17" applyNumberFormat="1" applyFont="1" applyBorder="1" applyAlignment="1">
      <alignment horizontal="center" vertical="center" wrapText="1"/>
    </xf>
    <xf numFmtId="175" fontId="12" fillId="0" borderId="0" xfId="18" applyFont="1" applyAlignment="1">
      <alignment vertical="center"/>
    </xf>
    <xf numFmtId="165" fontId="12" fillId="0" borderId="0" xfId="18" applyNumberFormat="1" applyFont="1" applyAlignment="1">
      <alignment vertical="center"/>
    </xf>
    <xf numFmtId="9" fontId="11" fillId="0" borderId="0" xfId="17" applyNumberFormat="1" applyFont="1" applyAlignment="1">
      <alignment vertical="center"/>
    </xf>
    <xf numFmtId="9" fontId="12" fillId="0" borderId="0" xfId="17" applyNumberFormat="1" applyFont="1" applyAlignment="1">
      <alignment vertical="center"/>
    </xf>
    <xf numFmtId="0" fontId="11" fillId="0" borderId="1" xfId="17" applyFont="1" applyBorder="1" applyAlignment="1">
      <alignment horizontal="center" vertical="center"/>
    </xf>
    <xf numFmtId="165" fontId="11" fillId="0" borderId="1" xfId="18" applyNumberFormat="1" applyFont="1" applyBorder="1" applyAlignment="1">
      <alignment vertical="center"/>
    </xf>
    <xf numFmtId="3" fontId="12" fillId="0" borderId="0" xfId="17" applyNumberFormat="1" applyFont="1" applyAlignment="1">
      <alignment vertical="center"/>
    </xf>
    <xf numFmtId="165" fontId="11" fillId="0" borderId="1" xfId="18" applyNumberFormat="1" applyFont="1" applyBorder="1" applyAlignment="1">
      <alignment horizontal="right" vertical="center"/>
    </xf>
    <xf numFmtId="169" fontId="12" fillId="0" borderId="0" xfId="1" applyNumberFormat="1" applyFont="1" applyAlignment="1">
      <alignment vertical="center" wrapText="1"/>
    </xf>
    <xf numFmtId="177" fontId="12" fillId="0" borderId="0" xfId="17" applyNumberFormat="1" applyFont="1" applyAlignment="1">
      <alignment vertical="center"/>
    </xf>
    <xf numFmtId="3" fontId="11" fillId="0" borderId="0" xfId="17" applyNumberFormat="1" applyFont="1" applyAlignment="1">
      <alignment vertical="center"/>
    </xf>
    <xf numFmtId="165" fontId="11" fillId="0" borderId="1" xfId="18" applyNumberFormat="1" applyFont="1" applyBorder="1" applyAlignment="1">
      <alignment horizontal="center" vertical="center"/>
    </xf>
    <xf numFmtId="3" fontId="12" fillId="0" borderId="1" xfId="7" applyNumberFormat="1" applyFont="1" applyBorder="1" applyAlignment="1">
      <alignment horizontal="center"/>
    </xf>
    <xf numFmtId="9" fontId="11" fillId="0" borderId="1" xfId="17" applyNumberFormat="1" applyFont="1" applyBorder="1" applyAlignment="1">
      <alignment horizontal="center" vertical="center"/>
    </xf>
    <xf numFmtId="176" fontId="12" fillId="0" borderId="1" xfId="18" applyNumberFormat="1" applyFont="1" applyBorder="1" applyAlignment="1">
      <alignment horizontal="center" vertical="center"/>
    </xf>
    <xf numFmtId="3" fontId="12" fillId="0" borderId="1" xfId="7" applyNumberFormat="1" applyFont="1" applyBorder="1" applyAlignment="1">
      <alignment horizontal="center" vertical="center"/>
    </xf>
    <xf numFmtId="0" fontId="9" fillId="0" borderId="0" xfId="4" applyFont="1" applyAlignment="1">
      <alignment horizontal="center"/>
    </xf>
    <xf numFmtId="169" fontId="8" fillId="2" borderId="1" xfId="6" applyNumberFormat="1" applyFont="1" applyFill="1" applyBorder="1" applyAlignment="1">
      <alignment horizontal="center" vertical="center" wrapText="1"/>
    </xf>
    <xf numFmtId="0" fontId="9" fillId="0" borderId="0" xfId="0" applyFont="1"/>
    <xf numFmtId="0" fontId="9" fillId="0" borderId="0" xfId="0" applyFont="1" applyAlignment="1">
      <alignment horizontal="center"/>
    </xf>
    <xf numFmtId="0" fontId="35"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center"/>
    </xf>
    <xf numFmtId="0" fontId="9" fillId="0" borderId="1" xfId="0" quotePrefix="1" applyFont="1" applyBorder="1" applyAlignment="1">
      <alignment horizontal="center" vertical="center"/>
    </xf>
    <xf numFmtId="166" fontId="9" fillId="0" borderId="1" xfId="1" applyNumberFormat="1" applyFont="1" applyBorder="1" applyAlignment="1">
      <alignment horizontal="center" vertical="center" wrapText="1"/>
    </xf>
    <xf numFmtId="2" fontId="9" fillId="0" borderId="0" xfId="0" applyNumberFormat="1" applyFont="1"/>
    <xf numFmtId="0" fontId="9" fillId="0" borderId="1" xfId="0" quotePrefix="1" applyFont="1" applyBorder="1" applyAlignment="1">
      <alignment horizontal="center"/>
    </xf>
    <xf numFmtId="171" fontId="9" fillId="0" borderId="1" xfId="1" quotePrefix="1" applyNumberFormat="1" applyFont="1" applyBorder="1" applyAlignment="1">
      <alignment horizontal="center" vertical="center" wrapText="1"/>
    </xf>
    <xf numFmtId="172" fontId="9" fillId="0" borderId="1" xfId="1" quotePrefix="1" applyNumberFormat="1" applyFont="1" applyBorder="1" applyAlignment="1">
      <alignment horizontal="center" vertical="center" wrapText="1"/>
    </xf>
    <xf numFmtId="0" fontId="35" fillId="0" borderId="1" xfId="0" applyFont="1" applyBorder="1" applyAlignment="1">
      <alignment horizontal="center" vertical="center"/>
    </xf>
    <xf numFmtId="164" fontId="9" fillId="0" borderId="1" xfId="1" applyFont="1" applyBorder="1" applyAlignment="1">
      <alignment horizontal="center" vertical="center" wrapText="1"/>
    </xf>
    <xf numFmtId="0" fontId="35" fillId="2" borderId="1" xfId="0" applyFont="1" applyFill="1" applyBorder="1" applyAlignment="1">
      <alignment horizontal="center" vertical="center" wrapText="1"/>
    </xf>
    <xf numFmtId="0" fontId="9" fillId="2" borderId="0" xfId="0" applyFont="1" applyFill="1" applyAlignment="1">
      <alignment horizontal="center" vertical="center"/>
    </xf>
    <xf numFmtId="0" fontId="35" fillId="2" borderId="1" xfId="0" applyFont="1" applyFill="1" applyBorder="1" applyAlignment="1">
      <alignment horizontal="left" vertical="center" wrapText="1"/>
    </xf>
    <xf numFmtId="166" fontId="9" fillId="2" borderId="1" xfId="1" applyNumberFormat="1" applyFont="1" applyFill="1" applyBorder="1" applyAlignment="1">
      <alignment horizontal="center" vertical="center" wrapText="1"/>
    </xf>
    <xf numFmtId="0" fontId="35"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7" fontId="35" fillId="2" borderId="1" xfId="1" applyNumberFormat="1" applyFont="1" applyFill="1" applyBorder="1" applyAlignment="1">
      <alignment horizontal="center" vertical="center"/>
    </xf>
    <xf numFmtId="0" fontId="9" fillId="2" borderId="1" xfId="0" applyFont="1" applyFill="1" applyBorder="1" applyAlignment="1">
      <alignment horizontal="left" vertical="center" wrapText="1"/>
    </xf>
    <xf numFmtId="9" fontId="9" fillId="2" borderId="1" xfId="0" applyNumberFormat="1" applyFont="1" applyFill="1" applyBorder="1" applyAlignment="1">
      <alignment horizontal="center" vertical="center" wrapText="1"/>
    </xf>
    <xf numFmtId="10" fontId="9" fillId="2" borderId="1" xfId="0" applyNumberFormat="1" applyFont="1" applyFill="1" applyBorder="1" applyAlignment="1">
      <alignment horizontal="center" vertical="center" wrapText="1"/>
    </xf>
    <xf numFmtId="10" fontId="9" fillId="2" borderId="0" xfId="2" applyNumberFormat="1" applyFont="1" applyFill="1" applyBorder="1" applyAlignment="1">
      <alignment horizontal="center" vertical="center"/>
    </xf>
    <xf numFmtId="0" fontId="9" fillId="2" borderId="1" xfId="0" applyFont="1" applyFill="1" applyBorder="1" applyAlignment="1">
      <alignment horizontal="center" vertical="center"/>
    </xf>
    <xf numFmtId="167" fontId="9" fillId="2" borderId="1" xfId="0" applyNumberFormat="1" applyFont="1" applyFill="1" applyBorder="1" applyAlignment="1">
      <alignment horizontal="center" vertical="center"/>
    </xf>
    <xf numFmtId="0" fontId="35" fillId="2" borderId="1" xfId="0" applyFont="1" applyFill="1" applyBorder="1" applyAlignment="1">
      <alignment horizontal="left" vertical="center"/>
    </xf>
    <xf numFmtId="0" fontId="35" fillId="2" borderId="1" xfId="0" applyFont="1" applyFill="1" applyBorder="1" applyAlignment="1">
      <alignment vertical="center"/>
    </xf>
    <xf numFmtId="167" fontId="35" fillId="2" borderId="1" xfId="0" applyNumberFormat="1" applyFont="1" applyFill="1" applyBorder="1" applyAlignment="1">
      <alignment horizontal="center" vertical="center" wrapText="1"/>
    </xf>
    <xf numFmtId="167" fontId="35" fillId="2" borderId="0" xfId="0" applyNumberFormat="1" applyFont="1" applyFill="1" applyAlignment="1">
      <alignment horizontal="center" vertical="center"/>
    </xf>
    <xf numFmtId="0" fontId="35" fillId="2" borderId="0" xfId="0" applyFont="1" applyFill="1" applyAlignment="1">
      <alignment horizontal="center" vertical="center"/>
    </xf>
    <xf numFmtId="167" fontId="9" fillId="2" borderId="0" xfId="0" applyNumberFormat="1" applyFont="1" applyFill="1" applyAlignment="1">
      <alignment horizontal="center" vertical="center"/>
    </xf>
    <xf numFmtId="168" fontId="9" fillId="2" borderId="1" xfId="2" applyNumberFormat="1" applyFont="1" applyFill="1" applyBorder="1" applyAlignment="1">
      <alignment horizontal="center" vertical="center" wrapText="1"/>
    </xf>
    <xf numFmtId="0" fontId="35" fillId="2" borderId="1" xfId="0" applyFont="1" applyFill="1" applyBorder="1" applyAlignment="1">
      <alignment vertical="center" wrapText="1"/>
    </xf>
    <xf numFmtId="10" fontId="9" fillId="2" borderId="0" xfId="0" applyNumberFormat="1" applyFont="1" applyFill="1" applyAlignment="1">
      <alignment horizontal="center" vertical="center"/>
    </xf>
    <xf numFmtId="37" fontId="9" fillId="2" borderId="1" xfId="0" applyNumberFormat="1" applyFont="1" applyFill="1" applyBorder="1" applyAlignment="1">
      <alignment horizontal="center" vertical="center"/>
    </xf>
    <xf numFmtId="14" fontId="9" fillId="2" borderId="0" xfId="0" applyNumberFormat="1" applyFont="1" applyFill="1" applyAlignment="1">
      <alignment horizontal="center" vertical="center"/>
    </xf>
    <xf numFmtId="169" fontId="9" fillId="2" borderId="0" xfId="1" applyNumberFormat="1" applyFont="1" applyFill="1" applyAlignment="1">
      <alignment horizontal="center" vertical="center"/>
    </xf>
    <xf numFmtId="0" fontId="35" fillId="0" borderId="1" xfId="0" applyFont="1" applyBorder="1" applyAlignment="1">
      <alignment horizontal="left" vertical="center" wrapText="1"/>
    </xf>
    <xf numFmtId="0" fontId="9" fillId="0" borderId="1" xfId="0" applyFont="1" applyBorder="1" applyAlignment="1">
      <alignment horizontal="left" vertical="center" wrapText="1"/>
    </xf>
    <xf numFmtId="166" fontId="9" fillId="0" borderId="1" xfId="1" applyNumberFormat="1" applyFont="1" applyBorder="1" applyAlignment="1">
      <alignment horizontal="left" vertical="center" wrapText="1"/>
    </xf>
    <xf numFmtId="0" fontId="35" fillId="0" borderId="1" xfId="0" applyFont="1" applyBorder="1" applyAlignment="1">
      <alignment horizontal="left" vertical="top" wrapText="1"/>
    </xf>
    <xf numFmtId="0" fontId="9" fillId="0" borderId="1" xfId="0" applyFont="1" applyBorder="1" applyAlignment="1">
      <alignment vertical="center" wrapText="1"/>
    </xf>
    <xf numFmtId="9" fontId="8" fillId="2" borderId="1" xfId="2" applyFont="1" applyFill="1" applyBorder="1" applyAlignment="1">
      <alignment horizontal="center" vertical="center" wrapText="1"/>
    </xf>
    <xf numFmtId="0" fontId="9" fillId="0" borderId="0" xfId="0" applyFont="1" applyAlignment="1">
      <alignment horizontal="center" vertical="center"/>
    </xf>
    <xf numFmtId="0" fontId="35" fillId="0" borderId="1" xfId="0" applyFont="1" applyBorder="1" applyAlignment="1">
      <alignment horizontal="center" vertical="center" wrapText="1"/>
    </xf>
    <xf numFmtId="0" fontId="9" fillId="0" borderId="0" xfId="4" applyFont="1" applyAlignment="1">
      <alignment horizontal="center" vertical="center"/>
    </xf>
    <xf numFmtId="165" fontId="9" fillId="0" borderId="0" xfId="1" applyNumberFormat="1" applyFont="1" applyAlignment="1">
      <alignment horizontal="center" vertical="center"/>
    </xf>
    <xf numFmtId="0" fontId="37" fillId="0" borderId="0" xfId="3" applyFont="1" applyAlignment="1" applyProtection="1"/>
    <xf numFmtId="0" fontId="37" fillId="0" borderId="0" xfId="3" applyFont="1" applyAlignment="1" applyProtection="1">
      <alignment horizontal="left" vertical="center" indent="4"/>
    </xf>
    <xf numFmtId="0" fontId="12" fillId="0" borderId="0" xfId="0" applyFont="1"/>
    <xf numFmtId="173" fontId="12" fillId="0" borderId="0" xfId="1" applyNumberFormat="1" applyFont="1"/>
    <xf numFmtId="0" fontId="38" fillId="2" borderId="1" xfId="0" applyFont="1" applyFill="1" applyBorder="1" applyAlignment="1">
      <alignment horizontal="center" vertical="center" wrapText="1"/>
    </xf>
    <xf numFmtId="0" fontId="9" fillId="0" borderId="0" xfId="0" applyFont="1" applyAlignment="1">
      <alignment wrapText="1"/>
    </xf>
    <xf numFmtId="0" fontId="38" fillId="2" borderId="1" xfId="0" applyFont="1" applyFill="1" applyBorder="1" applyAlignment="1">
      <alignment horizontal="left" vertical="center" wrapText="1"/>
    </xf>
    <xf numFmtId="0" fontId="12" fillId="0" borderId="3" xfId="4" applyFont="1" applyBorder="1" applyAlignment="1">
      <alignment horizontal="left" vertical="center" wrapText="1"/>
    </xf>
    <xf numFmtId="0" fontId="39" fillId="0" borderId="1" xfId="4" quotePrefix="1" applyFont="1" applyBorder="1" applyAlignment="1">
      <alignment horizontal="center" vertical="center" wrapText="1"/>
    </xf>
    <xf numFmtId="0" fontId="39" fillId="0" borderId="1" xfId="4" applyFont="1" applyBorder="1" applyAlignment="1">
      <alignment horizontal="left" vertical="center" wrapText="1"/>
    </xf>
    <xf numFmtId="0" fontId="38" fillId="2" borderId="1" xfId="0" applyFont="1" applyFill="1" applyBorder="1" applyAlignment="1">
      <alignment horizontal="center" vertical="center"/>
    </xf>
    <xf numFmtId="0" fontId="40" fillId="2" borderId="1" xfId="0" applyFont="1" applyFill="1" applyBorder="1" applyAlignment="1">
      <alignment horizontal="left" vertical="center" wrapText="1"/>
    </xf>
    <xf numFmtId="0" fontId="40" fillId="2" borderId="1" xfId="0" applyFont="1" applyFill="1" applyBorder="1" applyAlignment="1">
      <alignment horizontal="center" vertical="center" wrapText="1"/>
    </xf>
    <xf numFmtId="0" fontId="38" fillId="2" borderId="0" xfId="0" applyFont="1" applyFill="1" applyAlignment="1">
      <alignment horizontal="center" vertical="center"/>
    </xf>
    <xf numFmtId="10" fontId="38" fillId="2" borderId="1" xfId="0" applyNumberFormat="1" applyFont="1" applyFill="1" applyBorder="1" applyAlignment="1">
      <alignment horizontal="center" vertical="center" wrapText="1"/>
    </xf>
    <xf numFmtId="10" fontId="38" fillId="2" borderId="0" xfId="2" applyNumberFormat="1" applyFont="1" applyFill="1" applyBorder="1" applyAlignment="1">
      <alignment horizontal="center" vertical="center"/>
    </xf>
    <xf numFmtId="167" fontId="38" fillId="2" borderId="1" xfId="0" applyNumberFormat="1" applyFont="1" applyFill="1" applyBorder="1" applyAlignment="1">
      <alignment horizontal="center" vertical="center"/>
    </xf>
    <xf numFmtId="169" fontId="39" fillId="0" borderId="0" xfId="1" applyNumberFormat="1" applyFont="1" applyAlignment="1">
      <alignment horizontal="center" vertical="center"/>
    </xf>
    <xf numFmtId="169" fontId="39" fillId="0" borderId="0" xfId="1" applyNumberFormat="1" applyFont="1"/>
    <xf numFmtId="0" fontId="39" fillId="0" borderId="0" xfId="7" applyFont="1"/>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7" applyFont="1" applyAlignment="1">
      <alignment horizontal="center" vertical="center" wrapText="1"/>
    </xf>
    <xf numFmtId="0" fontId="4" fillId="0" borderId="1" xfId="0" applyFont="1" applyBorder="1" applyAlignment="1">
      <alignment horizontal="left" vertical="center" wrapText="1"/>
    </xf>
    <xf numFmtId="0" fontId="16" fillId="0" borderId="0" xfId="0" applyFont="1" applyAlignment="1">
      <alignment horizontal="center" vertical="center"/>
    </xf>
    <xf numFmtId="0" fontId="11" fillId="0" borderId="7" xfId="7" quotePrefix="1" applyFont="1" applyBorder="1"/>
    <xf numFmtId="169" fontId="39" fillId="0" borderId="0" xfId="1" applyNumberFormat="1" applyFont="1" applyAlignment="1">
      <alignment horizontal="left" vertical="center"/>
    </xf>
    <xf numFmtId="169" fontId="39" fillId="4" borderId="0" xfId="1" quotePrefix="1" applyNumberFormat="1" applyFont="1" applyFill="1" applyAlignment="1">
      <alignment horizontal="center" vertical="center"/>
    </xf>
    <xf numFmtId="0" fontId="13" fillId="0" borderId="1" xfId="0" applyFont="1" applyBorder="1" applyAlignment="1">
      <alignment horizontal="center" vertical="center" wrapText="1"/>
    </xf>
    <xf numFmtId="0" fontId="12" fillId="0" borderId="1" xfId="17" applyFont="1" applyBorder="1" applyAlignment="1">
      <alignment horizontal="center" vertical="center" wrapText="1"/>
    </xf>
    <xf numFmtId="2" fontId="13" fillId="0" borderId="1" xfId="0" quotePrefix="1" applyNumberFormat="1" applyFont="1" applyBorder="1" applyAlignment="1">
      <alignment horizontal="center" vertical="center" wrapText="1"/>
    </xf>
    <xf numFmtId="0" fontId="12" fillId="0" borderId="1" xfId="17" quotePrefix="1" applyFont="1" applyBorder="1" applyAlignment="1">
      <alignment horizontal="center" vertical="center" wrapText="1"/>
    </xf>
    <xf numFmtId="0" fontId="12" fillId="4" borderId="0" xfId="4" quotePrefix="1" applyFont="1" applyFill="1" applyAlignment="1">
      <alignment vertical="center"/>
    </xf>
    <xf numFmtId="0" fontId="12" fillId="4" borderId="0" xfId="4" applyFont="1" applyFill="1" applyAlignment="1">
      <alignment vertical="center"/>
    </xf>
    <xf numFmtId="170" fontId="12" fillId="0" borderId="1" xfId="4" applyNumberFormat="1" applyFont="1" applyBorder="1" applyAlignment="1">
      <alignment horizontal="center" vertical="center" wrapText="1"/>
    </xf>
    <xf numFmtId="2" fontId="12" fillId="0" borderId="1" xfId="4" applyNumberFormat="1" applyFont="1" applyBorder="1" applyAlignment="1">
      <alignment horizontal="center" vertical="center" wrapText="1"/>
    </xf>
    <xf numFmtId="176" fontId="9" fillId="0" borderId="1" xfId="1" applyNumberFormat="1" applyFont="1" applyBorder="1" applyAlignment="1">
      <alignment horizontal="center" vertical="center" wrapText="1"/>
    </xf>
    <xf numFmtId="176" fontId="9" fillId="0" borderId="1" xfId="1" quotePrefix="1" applyNumberFormat="1" applyFont="1" applyBorder="1" applyAlignment="1">
      <alignment horizontal="center" vertical="center" wrapText="1"/>
    </xf>
    <xf numFmtId="176" fontId="9" fillId="0" borderId="1" xfId="1" applyNumberFormat="1" applyFont="1" applyBorder="1" applyAlignment="1">
      <alignment horizontal="center" vertical="center"/>
    </xf>
    <xf numFmtId="0" fontId="4" fillId="11" borderId="0" xfId="0" applyFont="1" applyFill="1" applyAlignment="1">
      <alignment horizontal="center" vertical="center"/>
    </xf>
    <xf numFmtId="1" fontId="4" fillId="11" borderId="0" xfId="2" applyNumberFormat="1" applyFont="1" applyFill="1" applyBorder="1" applyAlignment="1">
      <alignment horizontal="center" vertical="center"/>
    </xf>
    <xf numFmtId="9" fontId="4" fillId="11" borderId="0" xfId="2" applyFont="1" applyFill="1" applyAlignment="1">
      <alignment horizontal="center" vertical="center"/>
    </xf>
    <xf numFmtId="0" fontId="5" fillId="11" borderId="0" xfId="0" applyFont="1" applyFill="1" applyAlignment="1">
      <alignment horizontal="center" vertical="center"/>
    </xf>
    <xf numFmtId="1" fontId="4" fillId="11" borderId="0" xfId="0" applyNumberFormat="1" applyFont="1" applyFill="1" applyAlignment="1">
      <alignment horizontal="center" vertical="center"/>
    </xf>
    <xf numFmtId="9" fontId="4" fillId="11" borderId="0" xfId="0" applyNumberFormat="1" applyFont="1" applyFill="1" applyAlignment="1">
      <alignment horizontal="center" vertical="center"/>
    </xf>
    <xf numFmtId="176" fontId="8" fillId="2" borderId="1" xfId="7" applyNumberFormat="1" applyFont="1" applyFill="1" applyBorder="1" applyAlignment="1">
      <alignment horizontal="right" vertical="center" wrapText="1"/>
    </xf>
    <xf numFmtId="176" fontId="11" fillId="0" borderId="1" xfId="0" applyNumberFormat="1" applyFont="1" applyBorder="1" applyAlignment="1">
      <alignment horizontal="right" vertical="center"/>
    </xf>
    <xf numFmtId="0" fontId="39" fillId="0" borderId="0" xfId="0" applyFont="1" applyAlignment="1">
      <alignment vertical="center"/>
    </xf>
    <xf numFmtId="14" fontId="0" fillId="0" borderId="0" xfId="0" applyNumberFormat="1" applyAlignment="1">
      <alignment vertical="center"/>
    </xf>
    <xf numFmtId="0" fontId="42" fillId="0" borderId="0" xfId="0" applyFont="1" applyAlignment="1">
      <alignment horizontal="center" vertical="center"/>
    </xf>
    <xf numFmtId="14" fontId="42" fillId="0" borderId="0" xfId="0" quotePrefix="1" applyNumberFormat="1" applyFont="1" applyAlignment="1">
      <alignment horizontal="center" vertical="center"/>
    </xf>
    <xf numFmtId="0" fontId="11" fillId="0" borderId="0" xfId="4" applyFont="1" applyAlignment="1">
      <alignment horizontal="left" vertical="center" wrapText="1"/>
    </xf>
    <xf numFmtId="14" fontId="12" fillId="4" borderId="0" xfId="4" quotePrefix="1" applyNumberFormat="1" applyFont="1" applyFill="1" applyAlignment="1">
      <alignment horizontal="left" vertical="center"/>
    </xf>
    <xf numFmtId="0" fontId="6" fillId="0" borderId="0" xfId="3" applyAlignment="1" applyProtection="1">
      <alignment horizontal="left" vertical="center"/>
    </xf>
    <xf numFmtId="0" fontId="12" fillId="0" borderId="0" xfId="4" applyFont="1" applyAlignment="1">
      <alignment vertical="center"/>
    </xf>
    <xf numFmtId="178" fontId="13" fillId="0" borderId="1" xfId="1" quotePrefix="1"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quotePrefix="1" applyFont="1" applyBorder="1" applyAlignment="1">
      <alignment horizontal="center" vertical="center" wrapText="1"/>
    </xf>
    <xf numFmtId="0" fontId="12" fillId="0" borderId="4" xfId="4"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8" xfId="0" applyFont="1" applyBorder="1" applyAlignment="1">
      <alignment vertical="center" wrapText="1"/>
    </xf>
    <xf numFmtId="10" fontId="38" fillId="2" borderId="1" xfId="2" applyNumberFormat="1" applyFont="1" applyFill="1" applyBorder="1" applyAlignment="1">
      <alignment horizontal="center" vertical="center"/>
    </xf>
    <xf numFmtId="0" fontId="9" fillId="11" borderId="0" xfId="0" applyFont="1" applyFill="1" applyAlignment="1">
      <alignment horizontal="center" vertical="center"/>
    </xf>
    <xf numFmtId="0" fontId="40" fillId="2" borderId="1" xfId="0" applyFont="1" applyFill="1" applyBorder="1" applyAlignment="1">
      <alignment horizontal="left" vertical="center"/>
    </xf>
    <xf numFmtId="0" fontId="40" fillId="2" borderId="1" xfId="0" applyFont="1" applyFill="1" applyBorder="1" applyAlignment="1">
      <alignment vertical="center"/>
    </xf>
    <xf numFmtId="0" fontId="38" fillId="11" borderId="0" xfId="0" applyFont="1" applyFill="1" applyAlignment="1">
      <alignment horizontal="center" vertical="center"/>
    </xf>
    <xf numFmtId="1" fontId="38" fillId="11" borderId="0" xfId="2" applyNumberFormat="1" applyFont="1" applyFill="1" applyBorder="1" applyAlignment="1">
      <alignment horizontal="center" vertical="center"/>
    </xf>
    <xf numFmtId="9" fontId="38" fillId="11" borderId="0" xfId="2" applyFont="1" applyFill="1" applyAlignment="1">
      <alignment horizontal="center" vertical="center"/>
    </xf>
    <xf numFmtId="1" fontId="9" fillId="11" borderId="0" xfId="2" applyNumberFormat="1" applyFont="1" applyFill="1" applyBorder="1" applyAlignment="1">
      <alignment horizontal="center" vertical="center"/>
    </xf>
    <xf numFmtId="9" fontId="9" fillId="11" borderId="0" xfId="2" applyFont="1" applyFill="1" applyAlignment="1">
      <alignment horizontal="center" vertical="center"/>
    </xf>
    <xf numFmtId="169" fontId="39" fillId="4" borderId="0" xfId="1" quotePrefix="1" applyNumberFormat="1" applyFont="1" applyFill="1" applyAlignment="1">
      <alignment horizontal="center"/>
    </xf>
    <xf numFmtId="0" fontId="41" fillId="0" borderId="1" xfId="0" applyFont="1" applyBorder="1" applyAlignment="1">
      <alignment horizontal="center" vertical="center" wrapText="1"/>
    </xf>
    <xf numFmtId="3" fontId="41" fillId="0" borderId="1" xfId="0" applyNumberFormat="1" applyFont="1" applyBorder="1" applyAlignment="1">
      <alignment horizontal="center" vertical="center" wrapText="1"/>
    </xf>
    <xf numFmtId="3" fontId="41" fillId="3"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9" fontId="41"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43" fontId="9" fillId="0" borderId="1" xfId="1" applyNumberFormat="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vertical="center" wrapText="1"/>
    </xf>
    <xf numFmtId="0" fontId="38" fillId="0" borderId="0" xfId="0" applyFont="1"/>
    <xf numFmtId="0" fontId="0" fillId="0" borderId="0" xfId="0" applyAlignment="1">
      <alignment horizontal="right" vertical="center"/>
    </xf>
    <xf numFmtId="0" fontId="39" fillId="0" borderId="0" xfId="4" applyFont="1" applyAlignment="1">
      <alignment horizontal="left" vertical="center"/>
    </xf>
    <xf numFmtId="1" fontId="9" fillId="2" borderId="1" xfId="1" applyNumberFormat="1" applyFont="1" applyFill="1" applyBorder="1" applyAlignment="1">
      <alignment horizontal="center" vertical="center"/>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justify" vertical="center" wrapText="1"/>
    </xf>
    <xf numFmtId="3" fontId="12" fillId="4"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176" fontId="9" fillId="2" borderId="1" xfId="1" applyNumberFormat="1" applyFont="1" applyFill="1" applyBorder="1" applyAlignment="1">
      <alignment horizontal="center" vertical="center" wrapText="1"/>
    </xf>
    <xf numFmtId="9" fontId="9" fillId="11" borderId="0" xfId="0" applyNumberFormat="1" applyFont="1" applyFill="1" applyAlignment="1">
      <alignment horizontal="center" vertical="center"/>
    </xf>
    <xf numFmtId="0" fontId="6" fillId="0" borderId="1" xfId="3" applyBorder="1" applyAlignment="1" applyProtection="1">
      <alignment horizontal="center" vertical="center" wrapText="1"/>
    </xf>
    <xf numFmtId="0" fontId="6" fillId="0" borderId="1" xfId="3" applyBorder="1" applyAlignment="1" applyProtection="1">
      <alignment horizontal="center" vertical="top" wrapText="1"/>
    </xf>
    <xf numFmtId="2" fontId="43" fillId="0" borderId="1" xfId="3" quotePrefix="1" applyNumberFormat="1" applyFont="1" applyFill="1" applyBorder="1" applyAlignment="1" applyProtection="1">
      <alignment horizontal="center" vertical="center" wrapText="1"/>
    </xf>
    <xf numFmtId="2" fontId="41" fillId="0" borderId="1" xfId="0" applyNumberFormat="1" applyFont="1" applyBorder="1" applyAlignment="1">
      <alignment horizontal="center" vertical="center" wrapText="1"/>
    </xf>
    <xf numFmtId="0" fontId="12" fillId="0" borderId="0" xfId="0" applyFont="1" applyAlignment="1">
      <alignment wrapText="1"/>
    </xf>
    <xf numFmtId="0" fontId="44" fillId="0" borderId="0" xfId="0" applyFont="1"/>
    <xf numFmtId="0" fontId="44" fillId="0" borderId="1" xfId="0" applyFont="1" applyBorder="1" applyAlignment="1">
      <alignment horizontal="center" vertical="center"/>
    </xf>
    <xf numFmtId="170" fontId="44" fillId="0" borderId="1" xfId="0" applyNumberFormat="1" applyFont="1" applyBorder="1" applyAlignment="1">
      <alignment horizontal="center" vertical="center"/>
    </xf>
    <xf numFmtId="0" fontId="44" fillId="0" borderId="4" xfId="0" applyFont="1" applyBorder="1" applyAlignment="1">
      <alignment horizontal="center" vertical="center"/>
    </xf>
    <xf numFmtId="0" fontId="44" fillId="0" borderId="1" xfId="0" applyFont="1" applyBorder="1" applyAlignment="1">
      <alignment wrapText="1"/>
    </xf>
    <xf numFmtId="0" fontId="17" fillId="0" borderId="1" xfId="7" applyFont="1" applyBorder="1" applyAlignment="1">
      <alignment horizontal="center" vertical="center" wrapText="1"/>
    </xf>
    <xf numFmtId="3" fontId="17" fillId="0" borderId="1" xfId="7" applyNumberFormat="1" applyFont="1" applyBorder="1" applyAlignment="1">
      <alignment horizontal="right" vertical="center" wrapText="1"/>
    </xf>
    <xf numFmtId="169" fontId="12" fillId="0" borderId="0" xfId="1" applyNumberFormat="1" applyFont="1" applyFill="1"/>
    <xf numFmtId="168" fontId="12" fillId="0" borderId="0" xfId="2" applyNumberFormat="1" applyFont="1"/>
    <xf numFmtId="14" fontId="12" fillId="0" borderId="0" xfId="0" applyNumberFormat="1" applyFont="1"/>
    <xf numFmtId="9" fontId="12" fillId="0" borderId="0" xfId="2" applyFont="1"/>
    <xf numFmtId="169" fontId="11" fillId="4" borderId="0" xfId="1" applyNumberFormat="1" applyFont="1" applyFill="1"/>
    <xf numFmtId="169" fontId="39" fillId="4" borderId="0" xfId="1" applyNumberFormat="1" applyFont="1" applyFill="1"/>
    <xf numFmtId="3" fontId="8" fillId="2" borderId="1" xfId="7" quotePrefix="1" applyNumberFormat="1" applyFont="1" applyFill="1" applyBorder="1" applyAlignment="1">
      <alignment vertical="center" wrapText="1"/>
    </xf>
    <xf numFmtId="179" fontId="12" fillId="0" borderId="0" xfId="1" applyNumberFormat="1" applyFont="1"/>
    <xf numFmtId="164" fontId="12" fillId="0" borderId="1" xfId="6" applyNumberFormat="1" applyFont="1" applyBorder="1" applyAlignment="1">
      <alignment horizontal="center" vertical="center"/>
    </xf>
    <xf numFmtId="170" fontId="9" fillId="0" borderId="0" xfId="0" applyNumberFormat="1" applyFont="1"/>
    <xf numFmtId="0" fontId="47" fillId="0" borderId="1" xfId="3" applyFont="1" applyBorder="1" applyAlignment="1" applyProtection="1">
      <alignment horizontal="center" vertical="center" wrapText="1"/>
    </xf>
    <xf numFmtId="0" fontId="45" fillId="0" borderId="1" xfId="0" applyFont="1" applyBorder="1" applyAlignment="1">
      <alignment horizontal="center" vertical="center" wrapText="1"/>
    </xf>
    <xf numFmtId="166" fontId="45" fillId="0" borderId="1" xfId="1" applyNumberFormat="1" applyFont="1" applyFill="1" applyBorder="1" applyAlignment="1">
      <alignment horizontal="center" vertical="center" wrapText="1"/>
    </xf>
    <xf numFmtId="166" fontId="45" fillId="0" borderId="1" xfId="1" applyNumberFormat="1" applyFont="1" applyBorder="1" applyAlignment="1">
      <alignment horizontal="center" vertical="center" wrapText="1"/>
    </xf>
    <xf numFmtId="0" fontId="45" fillId="0" borderId="1" xfId="7" applyFont="1" applyBorder="1" applyAlignment="1">
      <alignment horizontal="center" vertical="center" wrapText="1"/>
    </xf>
    <xf numFmtId="0" fontId="45" fillId="2" borderId="1" xfId="0" applyFont="1" applyFill="1" applyBorder="1" applyAlignment="1">
      <alignment horizontal="center" vertical="center" wrapText="1"/>
    </xf>
    <xf numFmtId="0" fontId="45" fillId="0" borderId="1" xfId="0" applyFont="1" applyBorder="1" applyAlignment="1">
      <alignment horizontal="center" vertical="center"/>
    </xf>
    <xf numFmtId="0" fontId="48" fillId="0" borderId="1" xfId="0" applyFont="1" applyBorder="1" applyAlignment="1">
      <alignment horizontal="center" vertical="center"/>
    </xf>
    <xf numFmtId="170" fontId="48" fillId="0" borderId="1" xfId="0" applyNumberFormat="1" applyFont="1" applyBorder="1" applyAlignment="1">
      <alignment horizontal="center" vertical="center"/>
    </xf>
    <xf numFmtId="2" fontId="45" fillId="0" borderId="1" xfId="0" applyNumberFormat="1" applyFont="1" applyBorder="1" applyAlignment="1">
      <alignment horizontal="center" vertical="center" wrapText="1"/>
    </xf>
    <xf numFmtId="170" fontId="41" fillId="0" borderId="1" xfId="0" applyNumberFormat="1" applyFont="1" applyBorder="1" applyAlignment="1">
      <alignment horizontal="center" vertical="center" wrapText="1"/>
    </xf>
    <xf numFmtId="0" fontId="9" fillId="12" borderId="1" xfId="0" applyFont="1" applyFill="1" applyBorder="1" applyAlignment="1">
      <alignment horizontal="center" vertical="center"/>
    </xf>
    <xf numFmtId="0" fontId="9" fillId="12" borderId="1" xfId="0" applyFont="1" applyFill="1" applyBorder="1" applyAlignment="1">
      <alignment horizontal="left" vertical="center" wrapText="1"/>
    </xf>
    <xf numFmtId="166" fontId="9" fillId="12" borderId="1" xfId="1" applyNumberFormat="1" applyFont="1" applyFill="1" applyBorder="1" applyAlignment="1">
      <alignment horizontal="center" vertical="center" wrapText="1"/>
    </xf>
    <xf numFmtId="3" fontId="41" fillId="12" borderId="1" xfId="0" applyNumberFormat="1" applyFont="1" applyFill="1" applyBorder="1" applyAlignment="1">
      <alignment horizontal="center" vertical="center" wrapText="1"/>
    </xf>
    <xf numFmtId="0" fontId="9" fillId="12" borderId="0" xfId="0" applyFont="1" applyFill="1"/>
    <xf numFmtId="0" fontId="35" fillId="0" borderId="1" xfId="0" applyFont="1" applyFill="1" applyBorder="1" applyAlignment="1">
      <alignment horizontal="center" vertical="center"/>
    </xf>
    <xf numFmtId="0" fontId="35" fillId="0" borderId="1" xfId="0" applyFont="1" applyFill="1" applyBorder="1" applyAlignment="1">
      <alignment horizontal="left" vertical="center" wrapText="1"/>
    </xf>
    <xf numFmtId="0" fontId="9" fillId="0" borderId="0" xfId="0" applyFont="1" applyFill="1"/>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3" fontId="12"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45" fillId="0" borderId="0" xfId="0" applyFont="1" applyAlignment="1">
      <alignment horizontal="center"/>
    </xf>
    <xf numFmtId="0" fontId="46" fillId="0" borderId="1" xfId="0" applyFont="1" applyBorder="1" applyAlignment="1">
      <alignment horizontal="center" vertical="top" wrapText="1"/>
    </xf>
    <xf numFmtId="170" fontId="45" fillId="0" borderId="1" xfId="0" applyNumberFormat="1" applyFont="1" applyBorder="1" applyAlignment="1">
      <alignment horizontal="center" vertical="center"/>
    </xf>
    <xf numFmtId="171" fontId="45" fillId="0" borderId="1" xfId="1" quotePrefix="1" applyNumberFormat="1" applyFont="1" applyBorder="1" applyAlignment="1">
      <alignment horizontal="center" vertical="center" wrapText="1"/>
    </xf>
    <xf numFmtId="172" fontId="45" fillId="0" borderId="1" xfId="1" quotePrefix="1" applyNumberFormat="1" applyFont="1" applyBorder="1" applyAlignment="1">
      <alignment horizontal="center" vertical="center" wrapText="1"/>
    </xf>
    <xf numFmtId="166" fontId="45" fillId="12" borderId="1" xfId="1" applyNumberFormat="1" applyFont="1" applyFill="1" applyBorder="1" applyAlignment="1">
      <alignment horizontal="center" vertical="center" wrapText="1"/>
    </xf>
    <xf numFmtId="164" fontId="45" fillId="0" borderId="1" xfId="1" applyFont="1" applyBorder="1" applyAlignment="1">
      <alignment horizontal="center" vertical="center" wrapText="1"/>
    </xf>
    <xf numFmtId="0" fontId="45" fillId="0" borderId="0" xfId="4" applyFont="1" applyAlignment="1">
      <alignment horizontal="center" vertical="center" wrapText="1"/>
    </xf>
    <xf numFmtId="0" fontId="50" fillId="0" borderId="3"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2" fillId="0" borderId="0" xfId="0" applyFont="1" applyFill="1"/>
    <xf numFmtId="0" fontId="52" fillId="4" borderId="1" xfId="0" applyFont="1" applyFill="1" applyBorder="1" applyAlignment="1">
      <alignment horizontal="center" vertical="center" wrapText="1"/>
    </xf>
    <xf numFmtId="0" fontId="50" fillId="4" borderId="1" xfId="0" applyFont="1" applyFill="1" applyBorder="1" applyAlignment="1">
      <alignment horizontal="justify" vertical="center" wrapText="1"/>
    </xf>
    <xf numFmtId="0" fontId="53" fillId="4" borderId="1" xfId="0" applyFont="1" applyFill="1" applyBorder="1" applyAlignment="1">
      <alignment horizontal="center" vertical="center"/>
    </xf>
    <xf numFmtId="9" fontId="54" fillId="4" borderId="1" xfId="2" applyFont="1" applyFill="1" applyBorder="1" applyAlignment="1">
      <alignment horizontal="center" vertical="center"/>
    </xf>
    <xf numFmtId="0" fontId="52" fillId="4" borderId="1" xfId="0" applyFont="1" applyFill="1" applyBorder="1" applyAlignment="1">
      <alignment horizontal="center" vertical="center"/>
    </xf>
    <xf numFmtId="9" fontId="53" fillId="4" borderId="1" xfId="2" applyFont="1" applyFill="1" applyBorder="1" applyAlignment="1">
      <alignment horizontal="center" vertical="center"/>
    </xf>
    <xf numFmtId="3" fontId="52" fillId="4" borderId="1" xfId="0" applyNumberFormat="1" applyFont="1" applyFill="1" applyBorder="1" applyAlignment="1">
      <alignment horizontal="center" vertical="center" wrapText="1"/>
    </xf>
    <xf numFmtId="3" fontId="50" fillId="4" borderId="1" xfId="0" applyNumberFormat="1" applyFont="1" applyFill="1" applyBorder="1" applyAlignment="1">
      <alignment horizontal="right" vertical="center" wrapText="1"/>
    </xf>
    <xf numFmtId="0" fontId="52" fillId="0" borderId="1" xfId="0" applyFont="1" applyFill="1" applyBorder="1" applyAlignment="1">
      <alignment horizontal="center" vertical="center" wrapText="1"/>
    </xf>
    <xf numFmtId="0" fontId="50" fillId="0" borderId="1" xfId="0" applyFont="1" applyFill="1" applyBorder="1" applyAlignment="1">
      <alignment horizontal="justify" vertical="center" wrapText="1"/>
    </xf>
    <xf numFmtId="9" fontId="54" fillId="0" borderId="1" xfId="2" applyFont="1" applyFill="1" applyBorder="1" applyAlignment="1">
      <alignment horizontal="center" vertical="center"/>
    </xf>
    <xf numFmtId="9" fontId="53" fillId="0" borderId="1" xfId="2" applyFont="1" applyFill="1" applyBorder="1" applyAlignment="1">
      <alignment horizontal="center" vertical="center"/>
    </xf>
    <xf numFmtId="3" fontId="52" fillId="0" borderId="1" xfId="0" applyNumberFormat="1" applyFont="1" applyFill="1" applyBorder="1" applyAlignment="1">
      <alignment horizontal="center" vertical="center" wrapText="1"/>
    </xf>
    <xf numFmtId="3" fontId="50" fillId="0" borderId="1" xfId="0" applyNumberFormat="1" applyFont="1" applyFill="1" applyBorder="1" applyAlignment="1">
      <alignment horizontal="right" vertical="center" wrapText="1"/>
    </xf>
    <xf numFmtId="0" fontId="52" fillId="0" borderId="1" xfId="0" applyFont="1" applyFill="1" applyBorder="1" applyAlignment="1">
      <alignment horizontal="center" vertical="center"/>
    </xf>
    <xf numFmtId="0" fontId="53" fillId="0" borderId="2" xfId="0" applyFont="1" applyFill="1" applyBorder="1" applyAlignment="1">
      <alignment vertical="center"/>
    </xf>
    <xf numFmtId="0" fontId="55" fillId="0" borderId="2" xfId="0" applyFont="1" applyFill="1" applyBorder="1" applyAlignment="1">
      <alignment horizontal="center" vertical="center"/>
    </xf>
    <xf numFmtId="0" fontId="51" fillId="0" borderId="2" xfId="0" applyFont="1" applyFill="1" applyBorder="1" applyAlignment="1">
      <alignment horizontal="center" vertical="center"/>
    </xf>
    <xf numFmtId="3" fontId="55" fillId="0" borderId="2" xfId="0" applyNumberFormat="1" applyFont="1" applyFill="1" applyBorder="1" applyAlignment="1">
      <alignment horizontal="right" vertical="center"/>
    </xf>
    <xf numFmtId="0" fontId="53" fillId="0" borderId="1" xfId="0" applyFont="1" applyFill="1" applyBorder="1" applyAlignment="1">
      <alignment vertical="center"/>
    </xf>
    <xf numFmtId="0" fontId="55" fillId="0" borderId="1" xfId="0" applyFont="1" applyFill="1" applyBorder="1" applyAlignment="1">
      <alignment horizontal="center" vertical="center"/>
    </xf>
    <xf numFmtId="0" fontId="51" fillId="0" borderId="1" xfId="0" applyFont="1" applyFill="1" applyBorder="1" applyAlignment="1">
      <alignment horizontal="center" vertical="center"/>
    </xf>
    <xf numFmtId="3" fontId="55" fillId="0" borderId="1" xfId="0" applyNumberFormat="1" applyFont="1" applyFill="1" applyBorder="1" applyAlignment="1">
      <alignment horizontal="right" vertical="center"/>
    </xf>
    <xf numFmtId="0" fontId="53" fillId="0" borderId="1" xfId="0" applyFont="1" applyFill="1" applyBorder="1" applyAlignment="1">
      <alignment horizontal="center" vertical="center"/>
    </xf>
    <xf numFmtId="0" fontId="54" fillId="0" borderId="0" xfId="0" applyFont="1" applyFill="1"/>
    <xf numFmtId="4" fontId="53" fillId="0" borderId="1"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2" fillId="0" borderId="0" xfId="0" applyFont="1" applyFill="1" applyAlignment="1">
      <alignment wrapText="1"/>
    </xf>
    <xf numFmtId="0" fontId="17" fillId="0" borderId="1" xfId="0" applyFont="1" applyFill="1" applyBorder="1" applyAlignment="1">
      <alignment horizontal="center" vertical="center" wrapText="1"/>
    </xf>
    <xf numFmtId="0" fontId="8" fillId="0" borderId="0" xfId="0" applyFont="1" applyFill="1"/>
    <xf numFmtId="3" fontId="17"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17" fillId="0" borderId="2" xfId="0" applyFont="1" applyFill="1" applyBorder="1" applyAlignment="1">
      <alignment vertical="center"/>
    </xf>
    <xf numFmtId="3" fontId="17" fillId="0" borderId="2" xfId="0" applyNumberFormat="1" applyFont="1" applyFill="1" applyBorder="1" applyAlignment="1">
      <alignment horizontal="right" vertical="center"/>
    </xf>
    <xf numFmtId="0" fontId="17" fillId="0" borderId="1" xfId="0" applyFont="1" applyFill="1" applyBorder="1" applyAlignment="1">
      <alignment vertical="center"/>
    </xf>
    <xf numFmtId="3" fontId="17" fillId="0" borderId="1" xfId="0" applyNumberFormat="1" applyFont="1" applyFill="1" applyBorder="1" applyAlignment="1">
      <alignment horizontal="right" vertical="center"/>
    </xf>
    <xf numFmtId="3" fontId="8" fillId="0" borderId="0" xfId="0" applyNumberFormat="1" applyFont="1" applyFill="1"/>
    <xf numFmtId="0" fontId="52" fillId="4" borderId="0" xfId="0" applyFont="1" applyFill="1"/>
    <xf numFmtId="4" fontId="53" fillId="4" borderId="1" xfId="0" applyNumberFormat="1" applyFont="1" applyFill="1" applyBorder="1" applyAlignment="1">
      <alignment horizontal="center" vertical="center"/>
    </xf>
    <xf numFmtId="4" fontId="53" fillId="4" borderId="1" xfId="0" applyNumberFormat="1" applyFont="1" applyFill="1" applyBorder="1" applyAlignment="1">
      <alignment horizontal="center" vertical="center" wrapText="1"/>
    </xf>
    <xf numFmtId="3" fontId="58" fillId="3" borderId="13" xfId="0" applyNumberFormat="1" applyFont="1" applyFill="1" applyBorder="1" applyAlignment="1">
      <alignment horizontal="center" vertical="center" wrapText="1"/>
    </xf>
    <xf numFmtId="3" fontId="58" fillId="3" borderId="14" xfId="0" applyNumberFormat="1" applyFont="1" applyFill="1" applyBorder="1" applyAlignment="1">
      <alignment horizontal="center" vertical="center" wrapText="1"/>
    </xf>
    <xf numFmtId="3" fontId="58" fillId="3" borderId="15" xfId="0" applyNumberFormat="1" applyFont="1" applyFill="1" applyBorder="1" applyAlignment="1">
      <alignment horizontal="center" vertical="center" wrapText="1"/>
    </xf>
    <xf numFmtId="9" fontId="9" fillId="0" borderId="0" xfId="2" applyFont="1" applyAlignment="1">
      <alignment horizontal="center"/>
    </xf>
    <xf numFmtId="169" fontId="9" fillId="0" borderId="0" xfId="1" applyNumberFormat="1" applyFont="1" applyAlignment="1">
      <alignment horizontal="center"/>
    </xf>
    <xf numFmtId="169" fontId="9" fillId="0" borderId="0" xfId="0" applyNumberFormat="1" applyFont="1" applyAlignment="1">
      <alignment horizontal="center"/>
    </xf>
    <xf numFmtId="0" fontId="35" fillId="3"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9" fillId="0" borderId="1" xfId="0" applyFont="1" applyBorder="1" applyAlignment="1">
      <alignment horizontal="justify" vertical="center" wrapText="1"/>
    </xf>
    <xf numFmtId="9" fontId="9" fillId="0" borderId="1" xfId="0" applyNumberFormat="1" applyFont="1" applyBorder="1" applyAlignment="1">
      <alignment horizontal="center" vertical="center"/>
    </xf>
    <xf numFmtId="0" fontId="35" fillId="0" borderId="1" xfId="0" applyFont="1" applyBorder="1" applyAlignment="1">
      <alignment horizontal="justify" vertical="center" wrapText="1"/>
    </xf>
    <xf numFmtId="9" fontId="35" fillId="0" borderId="1" xfId="0" applyNumberFormat="1" applyFont="1" applyBorder="1" applyAlignment="1">
      <alignment horizontal="center" vertical="center"/>
    </xf>
    <xf numFmtId="180" fontId="9" fillId="0" borderId="1" xfId="0" applyNumberFormat="1" applyFont="1" applyBorder="1" applyAlignment="1">
      <alignment horizontal="center" vertical="center"/>
    </xf>
    <xf numFmtId="180" fontId="9" fillId="3" borderId="1" xfId="0" applyNumberFormat="1" applyFont="1" applyFill="1" applyBorder="1" applyAlignment="1">
      <alignment horizontal="center" vertical="center"/>
    </xf>
    <xf numFmtId="4" fontId="9" fillId="0" borderId="1" xfId="0" applyNumberFormat="1" applyFont="1" applyBorder="1" applyAlignment="1">
      <alignment horizontal="center" vertical="center" wrapText="1"/>
    </xf>
    <xf numFmtId="1" fontId="9" fillId="3" borderId="1" xfId="0" applyNumberFormat="1" applyFont="1" applyFill="1" applyBorder="1" applyAlignment="1">
      <alignment horizontal="center" vertical="center" wrapText="1"/>
    </xf>
    <xf numFmtId="169" fontId="9" fillId="3" borderId="1" xfId="1" applyNumberFormat="1" applyFont="1" applyFill="1" applyBorder="1" applyAlignment="1">
      <alignment horizontal="center" vertical="center" wrapText="1"/>
    </xf>
    <xf numFmtId="169" fontId="35" fillId="3" borderId="1" xfId="1" applyNumberFormat="1" applyFont="1" applyFill="1" applyBorder="1" applyAlignment="1">
      <alignment horizontal="center" vertical="center" wrapText="1"/>
    </xf>
    <xf numFmtId="0" fontId="11" fillId="0" borderId="0" xfId="0" applyFont="1" applyAlignment="1">
      <alignment horizontal="justify" vertical="center" wrapText="1"/>
    </xf>
    <xf numFmtId="0" fontId="21" fillId="0" borderId="0" xfId="0" applyFont="1" applyAlignment="1">
      <alignment horizontal="center" vertical="center"/>
    </xf>
    <xf numFmtId="0" fontId="12" fillId="0" borderId="0" xfId="0" applyFont="1" applyAlignment="1">
      <alignment horizontal="justify" vertical="center" wrapText="1"/>
    </xf>
    <xf numFmtId="0" fontId="0" fillId="0" borderId="0" xfId="0" applyAlignment="1">
      <alignment horizontal="left" vertical="center" wrapText="1"/>
    </xf>
    <xf numFmtId="0" fontId="12" fillId="0" borderId="0" xfId="0" quotePrefix="1" applyFont="1" applyAlignment="1">
      <alignment horizontal="justify" vertical="center" wrapText="1"/>
    </xf>
    <xf numFmtId="0" fontId="11" fillId="0" borderId="0" xfId="0" applyFont="1" applyAlignment="1">
      <alignment horizontal="left" vertical="center" wrapText="1"/>
    </xf>
    <xf numFmtId="0" fontId="12" fillId="4" borderId="1" xfId="4" quotePrefix="1" applyFont="1" applyFill="1" applyBorder="1" applyAlignment="1">
      <alignment horizontal="justify" vertical="top" wrapText="1"/>
    </xf>
    <xf numFmtId="0" fontId="13" fillId="0" borderId="1" xfId="0" applyFont="1" applyBorder="1" applyAlignment="1">
      <alignment horizontal="justify" vertical="center" wrapText="1"/>
    </xf>
    <xf numFmtId="0" fontId="12" fillId="0" borderId="4" xfId="4" quotePrefix="1" applyFont="1" applyBorder="1" applyAlignment="1">
      <alignment horizontal="left" vertical="center" wrapText="1"/>
    </xf>
    <xf numFmtId="0" fontId="12" fillId="0" borderId="6" xfId="4" quotePrefix="1" applyFont="1" applyBorder="1" applyAlignment="1">
      <alignment horizontal="left" vertical="center" wrapText="1"/>
    </xf>
    <xf numFmtId="0" fontId="12" fillId="0" borderId="5" xfId="4" quotePrefix="1" applyFont="1" applyBorder="1" applyAlignment="1">
      <alignment horizontal="left" vertical="center" wrapText="1"/>
    </xf>
    <xf numFmtId="0" fontId="12" fillId="4" borderId="4" xfId="4" quotePrefix="1" applyFont="1" applyFill="1" applyBorder="1" applyAlignment="1">
      <alignment horizontal="left" vertical="center" wrapText="1"/>
    </xf>
    <xf numFmtId="0" fontId="12" fillId="4" borderId="6" xfId="4" quotePrefix="1" applyFont="1" applyFill="1" applyBorder="1" applyAlignment="1">
      <alignment horizontal="left" vertical="center" wrapText="1"/>
    </xf>
    <xf numFmtId="0" fontId="12" fillId="4" borderId="5" xfId="4" quotePrefix="1" applyFont="1" applyFill="1" applyBorder="1" applyAlignment="1">
      <alignment horizontal="left" vertical="center" wrapText="1"/>
    </xf>
    <xf numFmtId="0" fontId="13" fillId="0" borderId="4" xfId="0" quotePrefix="1" applyFont="1" applyBorder="1" applyAlignment="1">
      <alignment horizontal="justify" vertical="center" wrapText="1"/>
    </xf>
    <xf numFmtId="0" fontId="13" fillId="0" borderId="6" xfId="0" applyFont="1" applyBorder="1" applyAlignment="1">
      <alignment horizontal="justify" vertical="center" wrapText="1"/>
    </xf>
    <xf numFmtId="0" fontId="13" fillId="0" borderId="5" xfId="0" applyFont="1" applyBorder="1" applyAlignment="1">
      <alignment horizontal="justify" vertical="center" wrapText="1"/>
    </xf>
    <xf numFmtId="0" fontId="11" fillId="0" borderId="1" xfId="4" applyFont="1" applyBorder="1" applyAlignment="1">
      <alignment horizontal="left" vertical="center" wrapText="1"/>
    </xf>
    <xf numFmtId="0" fontId="12" fillId="0" borderId="1" xfId="4" applyFont="1" applyBorder="1" applyAlignment="1">
      <alignment horizontal="left" vertical="center" wrapText="1"/>
    </xf>
    <xf numFmtId="0" fontId="12" fillId="0" borderId="4" xfId="4" applyFont="1" applyBorder="1" applyAlignment="1">
      <alignment horizontal="justify" vertical="center" wrapText="1"/>
    </xf>
    <xf numFmtId="0" fontId="12" fillId="0" borderId="6" xfId="4" applyFont="1" applyBorder="1" applyAlignment="1">
      <alignment horizontal="justify" vertical="center" wrapText="1"/>
    </xf>
    <xf numFmtId="0" fontId="12" fillId="0" borderId="5" xfId="4" applyFont="1" applyBorder="1" applyAlignment="1">
      <alignment horizontal="justify" vertical="center" wrapText="1"/>
    </xf>
    <xf numFmtId="0" fontId="39" fillId="0" borderId="4" xfId="4" applyFont="1" applyBorder="1" applyAlignment="1">
      <alignment horizontal="center" vertical="center" wrapText="1"/>
    </xf>
    <xf numFmtId="0" fontId="39" fillId="0" borderId="6" xfId="4" applyFont="1" applyBorder="1" applyAlignment="1">
      <alignment horizontal="center" vertical="center" wrapText="1"/>
    </xf>
    <xf numFmtId="0" fontId="39" fillId="0" borderId="5" xfId="4" applyFont="1" applyBorder="1" applyAlignment="1">
      <alignment horizontal="center" vertical="center" wrapText="1"/>
    </xf>
    <xf numFmtId="4" fontId="13" fillId="0" borderId="4" xfId="0" applyNumberFormat="1" applyFont="1" applyBorder="1" applyAlignment="1">
      <alignment horizontal="justify" vertical="center" wrapText="1"/>
    </xf>
    <xf numFmtId="4" fontId="13" fillId="0" borderId="6" xfId="0" applyNumberFormat="1" applyFont="1" applyBorder="1" applyAlignment="1">
      <alignment horizontal="justify" vertical="center" wrapText="1"/>
    </xf>
    <xf numFmtId="4" fontId="13" fillId="0" borderId="5" xfId="0" applyNumberFormat="1" applyFont="1" applyBorder="1" applyAlignment="1">
      <alignment horizontal="justify" vertical="center" wrapText="1"/>
    </xf>
    <xf numFmtId="0" fontId="11" fillId="0" borderId="0" xfId="4" applyFont="1" applyAlignment="1">
      <alignment horizontal="center" vertical="center" wrapText="1"/>
    </xf>
    <xf numFmtId="0" fontId="11" fillId="0" borderId="0" xfId="4" applyFont="1" applyAlignment="1">
      <alignment horizontal="left" vertical="center" wrapText="1"/>
    </xf>
    <xf numFmtId="0" fontId="11" fillId="0" borderId="1" xfId="4" applyFont="1" applyBorder="1" applyAlignment="1">
      <alignment horizontal="justify" vertical="center" wrapText="1"/>
    </xf>
    <xf numFmtId="0" fontId="12" fillId="0" borderId="4"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7" fillId="0" borderId="1" xfId="0" applyFont="1" applyFill="1" applyBorder="1" applyAlignment="1">
      <alignment horizontal="justify" vertical="center" wrapText="1"/>
    </xf>
    <xf numFmtId="0" fontId="57" fillId="0" borderId="1"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56" fillId="0" borderId="1" xfId="0" applyFont="1" applyFill="1" applyBorder="1" applyAlignment="1">
      <alignment horizontal="center" vertical="center" wrapText="1"/>
    </xf>
    <xf numFmtId="0" fontId="35" fillId="0" borderId="0" xfId="0" applyFont="1" applyAlignment="1">
      <alignment horizontal="center"/>
    </xf>
    <xf numFmtId="3" fontId="58" fillId="3" borderId="10" xfId="0" applyNumberFormat="1" applyFont="1" applyFill="1" applyBorder="1" applyAlignment="1">
      <alignment horizontal="center" vertical="center" wrapText="1"/>
    </xf>
    <xf numFmtId="3" fontId="58" fillId="3" borderId="11" xfId="0" applyNumberFormat="1" applyFont="1" applyFill="1" applyBorder="1" applyAlignment="1">
      <alignment horizontal="center" vertical="center" wrapText="1"/>
    </xf>
    <xf numFmtId="3" fontId="58" fillId="3" borderId="12"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2" xfId="0" applyFont="1" applyFill="1" applyBorder="1" applyAlignment="1">
      <alignment horizontal="center" vertical="center" wrapText="1"/>
    </xf>
    <xf numFmtId="167" fontId="35"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9" xfId="0" applyFont="1" applyBorder="1" applyAlignment="1">
      <alignment horizontal="center" vertical="center"/>
    </xf>
    <xf numFmtId="0" fontId="17" fillId="0" borderId="1" xfId="7" applyFont="1" applyBorder="1" applyAlignment="1">
      <alignment horizontal="justify" vertical="center" wrapText="1"/>
    </xf>
    <xf numFmtId="0" fontId="11" fillId="0" borderId="1" xfId="0" applyFont="1" applyBorder="1" applyAlignment="1">
      <alignment horizontal="center" vertical="center"/>
    </xf>
    <xf numFmtId="0" fontId="20" fillId="0" borderId="1" xfId="0" applyFont="1" applyBorder="1" applyAlignment="1">
      <alignment horizontal="center" vertical="center" wrapText="1"/>
    </xf>
    <xf numFmtId="3" fontId="8" fillId="2" borderId="3" xfId="7" quotePrefix="1" applyNumberFormat="1" applyFont="1" applyFill="1" applyBorder="1" applyAlignment="1">
      <alignment horizontal="left" vertical="center" wrapText="1"/>
    </xf>
    <xf numFmtId="3" fontId="8" fillId="2" borderId="8" xfId="7" quotePrefix="1" applyNumberFormat="1" applyFont="1" applyFill="1" applyBorder="1" applyAlignment="1">
      <alignment horizontal="left" vertical="center" wrapText="1"/>
    </xf>
    <xf numFmtId="3" fontId="8" fillId="2" borderId="2" xfId="7" quotePrefix="1" applyNumberFormat="1"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1" fillId="0" borderId="4" xfId="17" applyFont="1" applyBorder="1" applyAlignment="1">
      <alignment horizontal="left" vertical="center" wrapText="1"/>
    </xf>
    <xf numFmtId="0" fontId="11" fillId="0" borderId="5" xfId="17" applyFont="1" applyBorder="1" applyAlignment="1">
      <alignment horizontal="left" vertical="center" wrapText="1"/>
    </xf>
    <xf numFmtId="0" fontId="16" fillId="0" borderId="0" xfId="17" applyFont="1" applyAlignment="1">
      <alignment horizontal="left" vertical="center"/>
    </xf>
  </cellXfs>
  <cellStyles count="19">
    <cellStyle name="Comma" xfId="1" builtinId="3"/>
    <cellStyle name="Comma 2" xfId="6" xr:uid="{00000000-0005-0000-0000-000001000000}"/>
    <cellStyle name="Comma 2 15" xfId="13" xr:uid="{00000000-0005-0000-0000-000002000000}"/>
    <cellStyle name="Comma 3" xfId="5" xr:uid="{00000000-0005-0000-0000-000003000000}"/>
    <cellStyle name="Comma 3 2" xfId="18" xr:uid="{00000000-0005-0000-0000-000004000000}"/>
    <cellStyle name="Hyperlink" xfId="3" builtinId="8"/>
    <cellStyle name="Hyperlink 2" xfId="10" xr:uid="{00000000-0005-0000-0000-000006000000}"/>
    <cellStyle name="Hyperlink 3" xfId="9" xr:uid="{00000000-0005-0000-0000-000007000000}"/>
    <cellStyle name="Normal" xfId="0" builtinId="0"/>
    <cellStyle name="Normal 2" xfId="7" xr:uid="{00000000-0005-0000-0000-000009000000}"/>
    <cellStyle name="Normal 2 3 2" xfId="14" xr:uid="{00000000-0005-0000-0000-00000A000000}"/>
    <cellStyle name="Normal 29" xfId="12" xr:uid="{00000000-0005-0000-0000-00000B000000}"/>
    <cellStyle name="Normal 3" xfId="4" xr:uid="{00000000-0005-0000-0000-00000C000000}"/>
    <cellStyle name="Normal 3 2" xfId="17" xr:uid="{00000000-0005-0000-0000-00000D000000}"/>
    <cellStyle name="Normal_Dichso 2" xfId="16" xr:uid="{00000000-0005-0000-0000-00000E000000}"/>
    <cellStyle name="Normal_DocSoUnicode 2" xfId="15" xr:uid="{00000000-0005-0000-0000-00000F000000}"/>
    <cellStyle name="Percent" xfId="2" builtinId="5"/>
    <cellStyle name="Percent 2" xfId="11" xr:uid="{00000000-0005-0000-0000-000011000000}"/>
    <cellStyle name="Percent 3" xfId="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1.png"/><Relationship Id="rId5" Type="http://schemas.openxmlformats.org/officeDocument/2006/relationships/image" Target="../media/image8.jpg"/><Relationship Id="rId4" Type="http://schemas.openxmlformats.org/officeDocument/2006/relationships/image" Target="../media/image7.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82550</xdr:rowOff>
    </xdr:from>
    <xdr:to>
      <xdr:col>8</xdr:col>
      <xdr:colOff>21385</xdr:colOff>
      <xdr:row>6</xdr:row>
      <xdr:rowOff>46035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8600" y="82550"/>
          <a:ext cx="6314235" cy="1144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140887</xdr:rowOff>
    </xdr:from>
    <xdr:to>
      <xdr:col>3</xdr:col>
      <xdr:colOff>2167685</xdr:colOff>
      <xdr:row>5</xdr:row>
      <xdr:rowOff>190501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9850" y="140887"/>
          <a:ext cx="6314235" cy="1033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71349</xdr:colOff>
      <xdr:row>0</xdr:row>
      <xdr:rowOff>151039</xdr:rowOff>
    </xdr:from>
    <xdr:to>
      <xdr:col>4</xdr:col>
      <xdr:colOff>1441146</xdr:colOff>
      <xdr:row>5</xdr:row>
      <xdr:rowOff>52956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71349" y="151039"/>
          <a:ext cx="6150134" cy="11148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59765</xdr:rowOff>
    </xdr:from>
    <xdr:to>
      <xdr:col>6</xdr:col>
      <xdr:colOff>1549400</xdr:colOff>
      <xdr:row>10</xdr:row>
      <xdr:rowOff>186462</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0" y="59765"/>
          <a:ext cx="8267700" cy="11934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26520</xdr:colOff>
      <xdr:row>0</xdr:row>
      <xdr:rowOff>171824</xdr:rowOff>
    </xdr:from>
    <xdr:to>
      <xdr:col>3</xdr:col>
      <xdr:colOff>18558</xdr:colOff>
      <xdr:row>7</xdr:row>
      <xdr:rowOff>137459</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26520" y="171824"/>
          <a:ext cx="6737979" cy="1220694"/>
        </a:xfrm>
        <a:prstGeom prst="rect">
          <a:avLst/>
        </a:prstGeom>
      </xdr:spPr>
    </xdr:pic>
    <xdr:clientData/>
  </xdr:twoCellAnchor>
  <xdr:twoCellAnchor editAs="oneCell">
    <xdr:from>
      <xdr:col>2</xdr:col>
      <xdr:colOff>1643062</xdr:colOff>
      <xdr:row>31</xdr:row>
      <xdr:rowOff>190498</xdr:rowOff>
    </xdr:from>
    <xdr:to>
      <xdr:col>2</xdr:col>
      <xdr:colOff>3538389</xdr:colOff>
      <xdr:row>32</xdr:row>
      <xdr:rowOff>3369469</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4312" y="6857998"/>
          <a:ext cx="1895327" cy="3369471"/>
        </a:xfrm>
        <a:prstGeom prst="rect">
          <a:avLst/>
        </a:prstGeom>
      </xdr:spPr>
    </xdr:pic>
    <xdr:clientData/>
  </xdr:twoCellAnchor>
  <xdr:twoCellAnchor editAs="oneCell">
    <xdr:from>
      <xdr:col>1</xdr:col>
      <xdr:colOff>380999</xdr:colOff>
      <xdr:row>32</xdr:row>
      <xdr:rowOff>11905</xdr:rowOff>
    </xdr:from>
    <xdr:to>
      <xdr:col>2</xdr:col>
      <xdr:colOff>285750</xdr:colOff>
      <xdr:row>32</xdr:row>
      <xdr:rowOff>3377407</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3905" y="6869905"/>
          <a:ext cx="1893095" cy="3365502"/>
        </a:xfrm>
        <a:prstGeom prst="rect">
          <a:avLst/>
        </a:prstGeom>
      </xdr:spPr>
    </xdr:pic>
    <xdr:clientData/>
  </xdr:twoCellAnchor>
  <xdr:twoCellAnchor editAs="oneCell">
    <xdr:from>
      <xdr:col>4</xdr:col>
      <xdr:colOff>440530</xdr:colOff>
      <xdr:row>32</xdr:row>
      <xdr:rowOff>1381125</xdr:rowOff>
    </xdr:from>
    <xdr:to>
      <xdr:col>7</xdr:col>
      <xdr:colOff>438149</xdr:colOff>
      <xdr:row>32</xdr:row>
      <xdr:rowOff>3209925</xdr:rowOff>
    </xdr:to>
    <xdr:pic>
      <xdr:nvPicPr>
        <xdr:cNvPr id="13" name="Picture 12">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91499" y="8239125"/>
          <a:ext cx="2438400" cy="182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2</xdr:col>
      <xdr:colOff>4305300</xdr:colOff>
      <xdr:row>7</xdr:row>
      <xdr:rowOff>11998</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9050" y="59765"/>
          <a:ext cx="6661150" cy="1196833"/>
        </a:xfrm>
        <a:prstGeom prst="rect">
          <a:avLst/>
        </a:prstGeom>
      </xdr:spPr>
    </xdr:pic>
    <xdr:clientData/>
  </xdr:twoCellAnchor>
  <xdr:twoCellAnchor editAs="oneCell">
    <xdr:from>
      <xdr:col>1</xdr:col>
      <xdr:colOff>392905</xdr:colOff>
      <xdr:row>32</xdr:row>
      <xdr:rowOff>178592</xdr:rowOff>
    </xdr:from>
    <xdr:to>
      <xdr:col>2</xdr:col>
      <xdr:colOff>0</xdr:colOff>
      <xdr:row>32</xdr:row>
      <xdr:rowOff>3014928</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811" y="7036592"/>
          <a:ext cx="1595439" cy="2836336"/>
        </a:xfrm>
        <a:prstGeom prst="rect">
          <a:avLst/>
        </a:prstGeom>
      </xdr:spPr>
    </xdr:pic>
    <xdr:clientData/>
  </xdr:twoCellAnchor>
  <xdr:twoCellAnchor editAs="oneCell">
    <xdr:from>
      <xdr:col>2</xdr:col>
      <xdr:colOff>345281</xdr:colOff>
      <xdr:row>32</xdr:row>
      <xdr:rowOff>178593</xdr:rowOff>
    </xdr:from>
    <xdr:to>
      <xdr:col>2</xdr:col>
      <xdr:colOff>1912441</xdr:colOff>
      <xdr:row>32</xdr:row>
      <xdr:rowOff>2964655</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6531" y="7036593"/>
          <a:ext cx="1567160" cy="2786062"/>
        </a:xfrm>
        <a:prstGeom prst="rect">
          <a:avLst/>
        </a:prstGeom>
      </xdr:spPr>
    </xdr:pic>
    <xdr:clientData/>
  </xdr:twoCellAnchor>
  <xdr:twoCellAnchor editAs="oneCell">
    <xdr:from>
      <xdr:col>2</xdr:col>
      <xdr:colOff>2262188</xdr:colOff>
      <xdr:row>32</xdr:row>
      <xdr:rowOff>178593</xdr:rowOff>
    </xdr:from>
    <xdr:to>
      <xdr:col>2</xdr:col>
      <xdr:colOff>3903018</xdr:colOff>
      <xdr:row>32</xdr:row>
      <xdr:rowOff>3095624</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8" y="7036593"/>
          <a:ext cx="1640830" cy="2917031"/>
        </a:xfrm>
        <a:prstGeom prst="rect">
          <a:avLst/>
        </a:prstGeom>
      </xdr:spPr>
    </xdr:pic>
    <xdr:clientData/>
  </xdr:twoCellAnchor>
  <xdr:twoCellAnchor editAs="oneCell">
    <xdr:from>
      <xdr:col>1</xdr:col>
      <xdr:colOff>1678781</xdr:colOff>
      <xdr:row>32</xdr:row>
      <xdr:rowOff>3107532</xdr:rowOff>
    </xdr:from>
    <xdr:to>
      <xdr:col>2</xdr:col>
      <xdr:colOff>2357437</xdr:colOff>
      <xdr:row>33</xdr:row>
      <xdr:rowOff>30957</xdr:rowOff>
    </xdr:to>
    <xdr:pic>
      <xdr:nvPicPr>
        <xdr:cNvPr id="14" name="Picture 13">
          <a:extLst>
            <a:ext uri="{FF2B5EF4-FFF2-40B4-BE49-F238E27FC236}">
              <a16:creationId xmlns:a16="http://schemas.microsoft.com/office/drawing/2014/main" id="{00000000-0008-0000-0E00-00000E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0659" b="27675"/>
        <a:stretch/>
      </xdr:blipFill>
      <xdr:spPr>
        <a:xfrm>
          <a:off x="2071687" y="9965532"/>
          <a:ext cx="2667000" cy="1828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2</xdr:col>
      <xdr:colOff>4324350</xdr:colOff>
      <xdr:row>7</xdr:row>
      <xdr:rowOff>15421</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9050" y="59765"/>
          <a:ext cx="6680200" cy="1200256"/>
        </a:xfrm>
        <a:prstGeom prst="rect">
          <a:avLst/>
        </a:prstGeom>
      </xdr:spPr>
    </xdr:pic>
    <xdr:clientData/>
  </xdr:twoCellAnchor>
  <xdr:twoCellAnchor editAs="oneCell">
    <xdr:from>
      <xdr:col>1</xdr:col>
      <xdr:colOff>771524</xdr:colOff>
      <xdr:row>32</xdr:row>
      <xdr:rowOff>266700</xdr:rowOff>
    </xdr:from>
    <xdr:to>
      <xdr:col>2</xdr:col>
      <xdr:colOff>371475</xdr:colOff>
      <xdr:row>32</xdr:row>
      <xdr:rowOff>3094568</xdr:rowOff>
    </xdr:to>
    <xdr:pic>
      <xdr:nvPicPr>
        <xdr:cNvPr id="8" name="Pictur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2049" y="7124700"/>
          <a:ext cx="1590676" cy="2827868"/>
        </a:xfrm>
        <a:prstGeom prst="rect">
          <a:avLst/>
        </a:prstGeom>
      </xdr:spPr>
    </xdr:pic>
    <xdr:clientData/>
  </xdr:twoCellAnchor>
  <xdr:twoCellAnchor editAs="oneCell">
    <xdr:from>
      <xdr:col>2</xdr:col>
      <xdr:colOff>1628774</xdr:colOff>
      <xdr:row>32</xdr:row>
      <xdr:rowOff>304799</xdr:rowOff>
    </xdr:from>
    <xdr:to>
      <xdr:col>2</xdr:col>
      <xdr:colOff>3105149</xdr:colOff>
      <xdr:row>32</xdr:row>
      <xdr:rowOff>2929466</xdr:rowOff>
    </xdr:to>
    <xdr:pic>
      <xdr:nvPicPr>
        <xdr:cNvPr id="10" name="Picture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10024" y="7162799"/>
          <a:ext cx="1476375" cy="2624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374650</xdr:colOff>
          <xdr:row>6</xdr:row>
          <xdr:rowOff>31750</xdr:rowOff>
        </xdr:from>
        <xdr:to>
          <xdr:col>48</xdr:col>
          <xdr:colOff>127000</xdr:colOff>
          <xdr:row>94</xdr:row>
          <xdr:rowOff>88900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000-0000016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xdr:col>
      <xdr:colOff>692150</xdr:colOff>
      <xdr:row>49</xdr:row>
      <xdr:rowOff>0</xdr:rowOff>
    </xdr:from>
    <xdr:to>
      <xdr:col>3</xdr:col>
      <xdr:colOff>1254696</xdr:colOff>
      <xdr:row>70</xdr:row>
      <xdr:rowOff>31244</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8850" y="3911600"/>
          <a:ext cx="5236146" cy="4165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iersvn-my.sharepoint.com/1.%20Work/2.%20Dinh_gia/1.%202020/1.%202020/A.%20Do%20Dang/4.%20Nh&#224;%20xuong%20Hai%20Duong/1.2.%20File_tinh_nha_xuo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KTOP-FI5C9NP\Ph&#242;ng%20th&#7849;m%20&#273;&#7883;nh%201\1.%20Work\2.%20Dinh_gia\1.%202020\1.%202020\A.%20Do%20Dang\4.%20Nh&#224;%20xuong%20Hai%20Duong\1.2.%20File_tinh_nha_xu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image" Target="../media/image1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7"/>
  <sheetViews>
    <sheetView topLeftCell="B1" zoomScale="85" zoomScaleNormal="85" workbookViewId="0">
      <pane ySplit="1" topLeftCell="A21" activePane="bottomLeft" state="frozen"/>
      <selection activeCell="D20" sqref="D20:F20"/>
      <selection pane="bottomLeft" activeCell="E67" sqref="E67"/>
    </sheetView>
  </sheetViews>
  <sheetFormatPr defaultRowHeight="14"/>
  <cols>
    <col min="1" max="1" width="6.08203125" style="142" customWidth="1"/>
    <col min="2" max="2" width="15.83203125" style="142" customWidth="1"/>
    <col min="3" max="3" width="7.83203125" style="142" customWidth="1"/>
    <col min="4" max="7" width="18.58203125" style="142" customWidth="1"/>
    <col min="8" max="8" width="16.5" style="142" customWidth="1"/>
    <col min="9" max="9" width="13.5" style="142" bestFit="1" customWidth="1"/>
    <col min="10" max="10" width="14.4140625" style="142" customWidth="1"/>
    <col min="11" max="244" width="9" style="142"/>
    <col min="245" max="245" width="4.08203125" style="142" customWidth="1"/>
    <col min="246" max="246" width="19.08203125" style="142" customWidth="1"/>
    <col min="247" max="247" width="6" style="142" customWidth="1"/>
    <col min="248" max="248" width="8.33203125" style="142" customWidth="1"/>
    <col min="249" max="249" width="10.83203125" style="142" customWidth="1"/>
    <col min="250" max="250" width="11" style="142" customWidth="1"/>
    <col min="251" max="251" width="10.83203125" style="142" customWidth="1"/>
    <col min="252" max="252" width="8.203125E-2" style="142" customWidth="1"/>
    <col min="253" max="500" width="9" style="142"/>
    <col min="501" max="501" width="4.08203125" style="142" customWidth="1"/>
    <col min="502" max="502" width="19.08203125" style="142" customWidth="1"/>
    <col min="503" max="503" width="6" style="142" customWidth="1"/>
    <col min="504" max="504" width="8.33203125" style="142" customWidth="1"/>
    <col min="505" max="505" width="10.83203125" style="142" customWidth="1"/>
    <col min="506" max="506" width="11" style="142" customWidth="1"/>
    <col min="507" max="507" width="10.83203125" style="142" customWidth="1"/>
    <col min="508" max="508" width="8.203125E-2" style="142" customWidth="1"/>
    <col min="509" max="756" width="9" style="142"/>
    <col min="757" max="757" width="4.08203125" style="142" customWidth="1"/>
    <col min="758" max="758" width="19.08203125" style="142" customWidth="1"/>
    <col min="759" max="759" width="6" style="142" customWidth="1"/>
    <col min="760" max="760" width="8.33203125" style="142" customWidth="1"/>
    <col min="761" max="761" width="10.83203125" style="142" customWidth="1"/>
    <col min="762" max="762" width="11" style="142" customWidth="1"/>
    <col min="763" max="763" width="10.83203125" style="142" customWidth="1"/>
    <col min="764" max="764" width="8.203125E-2" style="142" customWidth="1"/>
    <col min="765" max="1012" width="9" style="142"/>
    <col min="1013" max="1013" width="4.08203125" style="142" customWidth="1"/>
    <col min="1014" max="1014" width="19.08203125" style="142" customWidth="1"/>
    <col min="1015" max="1015" width="6" style="142" customWidth="1"/>
    <col min="1016" max="1016" width="8.33203125" style="142" customWidth="1"/>
    <col min="1017" max="1017" width="10.83203125" style="142" customWidth="1"/>
    <col min="1018" max="1018" width="11" style="142" customWidth="1"/>
    <col min="1019" max="1019" width="10.83203125" style="142" customWidth="1"/>
    <col min="1020" max="1020" width="8.203125E-2" style="142" customWidth="1"/>
    <col min="1021" max="1268" width="9" style="142"/>
    <col min="1269" max="1269" width="4.08203125" style="142" customWidth="1"/>
    <col min="1270" max="1270" width="19.08203125" style="142" customWidth="1"/>
    <col min="1271" max="1271" width="6" style="142" customWidth="1"/>
    <col min="1272" max="1272" width="8.33203125" style="142" customWidth="1"/>
    <col min="1273" max="1273" width="10.83203125" style="142" customWidth="1"/>
    <col min="1274" max="1274" width="11" style="142" customWidth="1"/>
    <col min="1275" max="1275" width="10.83203125" style="142" customWidth="1"/>
    <col min="1276" max="1276" width="8.203125E-2" style="142" customWidth="1"/>
    <col min="1277" max="1524" width="9" style="142"/>
    <col min="1525" max="1525" width="4.08203125" style="142" customWidth="1"/>
    <col min="1526" max="1526" width="19.08203125" style="142" customWidth="1"/>
    <col min="1527" max="1527" width="6" style="142" customWidth="1"/>
    <col min="1528" max="1528" width="8.33203125" style="142" customWidth="1"/>
    <col min="1529" max="1529" width="10.83203125" style="142" customWidth="1"/>
    <col min="1530" max="1530" width="11" style="142" customWidth="1"/>
    <col min="1531" max="1531" width="10.83203125" style="142" customWidth="1"/>
    <col min="1532" max="1532" width="8.203125E-2" style="142" customWidth="1"/>
    <col min="1533" max="1780" width="9" style="142"/>
    <col min="1781" max="1781" width="4.08203125" style="142" customWidth="1"/>
    <col min="1782" max="1782" width="19.08203125" style="142" customWidth="1"/>
    <col min="1783" max="1783" width="6" style="142" customWidth="1"/>
    <col min="1784" max="1784" width="8.33203125" style="142" customWidth="1"/>
    <col min="1785" max="1785" width="10.83203125" style="142" customWidth="1"/>
    <col min="1786" max="1786" width="11" style="142" customWidth="1"/>
    <col min="1787" max="1787" width="10.83203125" style="142" customWidth="1"/>
    <col min="1788" max="1788" width="8.203125E-2" style="142" customWidth="1"/>
    <col min="1789" max="2036" width="9" style="142"/>
    <col min="2037" max="2037" width="4.08203125" style="142" customWidth="1"/>
    <col min="2038" max="2038" width="19.08203125" style="142" customWidth="1"/>
    <col min="2039" max="2039" width="6" style="142" customWidth="1"/>
    <col min="2040" max="2040" width="8.33203125" style="142" customWidth="1"/>
    <col min="2041" max="2041" width="10.83203125" style="142" customWidth="1"/>
    <col min="2042" max="2042" width="11" style="142" customWidth="1"/>
    <col min="2043" max="2043" width="10.83203125" style="142" customWidth="1"/>
    <col min="2044" max="2044" width="8.203125E-2" style="142" customWidth="1"/>
    <col min="2045" max="2292" width="9" style="142"/>
    <col min="2293" max="2293" width="4.08203125" style="142" customWidth="1"/>
    <col min="2294" max="2294" width="19.08203125" style="142" customWidth="1"/>
    <col min="2295" max="2295" width="6" style="142" customWidth="1"/>
    <col min="2296" max="2296" width="8.33203125" style="142" customWidth="1"/>
    <col min="2297" max="2297" width="10.83203125" style="142" customWidth="1"/>
    <col min="2298" max="2298" width="11" style="142" customWidth="1"/>
    <col min="2299" max="2299" width="10.83203125" style="142" customWidth="1"/>
    <col min="2300" max="2300" width="8.203125E-2" style="142" customWidth="1"/>
    <col min="2301" max="2548" width="9" style="142"/>
    <col min="2549" max="2549" width="4.08203125" style="142" customWidth="1"/>
    <col min="2550" max="2550" width="19.08203125" style="142" customWidth="1"/>
    <col min="2551" max="2551" width="6" style="142" customWidth="1"/>
    <col min="2552" max="2552" width="8.33203125" style="142" customWidth="1"/>
    <col min="2553" max="2553" width="10.83203125" style="142" customWidth="1"/>
    <col min="2554" max="2554" width="11" style="142" customWidth="1"/>
    <col min="2555" max="2555" width="10.83203125" style="142" customWidth="1"/>
    <col min="2556" max="2556" width="8.203125E-2" style="142" customWidth="1"/>
    <col min="2557" max="2804" width="9" style="142"/>
    <col min="2805" max="2805" width="4.08203125" style="142" customWidth="1"/>
    <col min="2806" max="2806" width="19.08203125" style="142" customWidth="1"/>
    <col min="2807" max="2807" width="6" style="142" customWidth="1"/>
    <col min="2808" max="2808" width="8.33203125" style="142" customWidth="1"/>
    <col min="2809" max="2809" width="10.83203125" style="142" customWidth="1"/>
    <col min="2810" max="2810" width="11" style="142" customWidth="1"/>
    <col min="2811" max="2811" width="10.83203125" style="142" customWidth="1"/>
    <col min="2812" max="2812" width="8.203125E-2" style="142" customWidth="1"/>
    <col min="2813" max="3060" width="9" style="142"/>
    <col min="3061" max="3061" width="4.08203125" style="142" customWidth="1"/>
    <col min="3062" max="3062" width="19.08203125" style="142" customWidth="1"/>
    <col min="3063" max="3063" width="6" style="142" customWidth="1"/>
    <col min="3064" max="3064" width="8.33203125" style="142" customWidth="1"/>
    <col min="3065" max="3065" width="10.83203125" style="142" customWidth="1"/>
    <col min="3066" max="3066" width="11" style="142" customWidth="1"/>
    <col min="3067" max="3067" width="10.83203125" style="142" customWidth="1"/>
    <col min="3068" max="3068" width="8.203125E-2" style="142" customWidth="1"/>
    <col min="3069" max="3316" width="9" style="142"/>
    <col min="3317" max="3317" width="4.08203125" style="142" customWidth="1"/>
    <col min="3318" max="3318" width="19.08203125" style="142" customWidth="1"/>
    <col min="3319" max="3319" width="6" style="142" customWidth="1"/>
    <col min="3320" max="3320" width="8.33203125" style="142" customWidth="1"/>
    <col min="3321" max="3321" width="10.83203125" style="142" customWidth="1"/>
    <col min="3322" max="3322" width="11" style="142" customWidth="1"/>
    <col min="3323" max="3323" width="10.83203125" style="142" customWidth="1"/>
    <col min="3324" max="3324" width="8.203125E-2" style="142" customWidth="1"/>
    <col min="3325" max="3572" width="9" style="142"/>
    <col min="3573" max="3573" width="4.08203125" style="142" customWidth="1"/>
    <col min="3574" max="3574" width="19.08203125" style="142" customWidth="1"/>
    <col min="3575" max="3575" width="6" style="142" customWidth="1"/>
    <col min="3576" max="3576" width="8.33203125" style="142" customWidth="1"/>
    <col min="3577" max="3577" width="10.83203125" style="142" customWidth="1"/>
    <col min="3578" max="3578" width="11" style="142" customWidth="1"/>
    <col min="3579" max="3579" width="10.83203125" style="142" customWidth="1"/>
    <col min="3580" max="3580" width="8.203125E-2" style="142" customWidth="1"/>
    <col min="3581" max="3828" width="9" style="142"/>
    <col min="3829" max="3829" width="4.08203125" style="142" customWidth="1"/>
    <col min="3830" max="3830" width="19.08203125" style="142" customWidth="1"/>
    <col min="3831" max="3831" width="6" style="142" customWidth="1"/>
    <col min="3832" max="3832" width="8.33203125" style="142" customWidth="1"/>
    <col min="3833" max="3833" width="10.83203125" style="142" customWidth="1"/>
    <col min="3834" max="3834" width="11" style="142" customWidth="1"/>
    <col min="3835" max="3835" width="10.83203125" style="142" customWidth="1"/>
    <col min="3836" max="3836" width="8.203125E-2" style="142" customWidth="1"/>
    <col min="3837" max="4084" width="9" style="142"/>
    <col min="4085" max="4085" width="4.08203125" style="142" customWidth="1"/>
    <col min="4086" max="4086" width="19.08203125" style="142" customWidth="1"/>
    <col min="4087" max="4087" width="6" style="142" customWidth="1"/>
    <col min="4088" max="4088" width="8.33203125" style="142" customWidth="1"/>
    <col min="4089" max="4089" width="10.83203125" style="142" customWidth="1"/>
    <col min="4090" max="4090" width="11" style="142" customWidth="1"/>
    <col min="4091" max="4091" width="10.83203125" style="142" customWidth="1"/>
    <col min="4092" max="4092" width="8.203125E-2" style="142" customWidth="1"/>
    <col min="4093" max="4340" width="9" style="142"/>
    <col min="4341" max="4341" width="4.08203125" style="142" customWidth="1"/>
    <col min="4342" max="4342" width="19.08203125" style="142" customWidth="1"/>
    <col min="4343" max="4343" width="6" style="142" customWidth="1"/>
    <col min="4344" max="4344" width="8.33203125" style="142" customWidth="1"/>
    <col min="4345" max="4345" width="10.83203125" style="142" customWidth="1"/>
    <col min="4346" max="4346" width="11" style="142" customWidth="1"/>
    <col min="4347" max="4347" width="10.83203125" style="142" customWidth="1"/>
    <col min="4348" max="4348" width="8.203125E-2" style="142" customWidth="1"/>
    <col min="4349" max="4596" width="9" style="142"/>
    <col min="4597" max="4597" width="4.08203125" style="142" customWidth="1"/>
    <col min="4598" max="4598" width="19.08203125" style="142" customWidth="1"/>
    <col min="4599" max="4599" width="6" style="142" customWidth="1"/>
    <col min="4600" max="4600" width="8.33203125" style="142" customWidth="1"/>
    <col min="4601" max="4601" width="10.83203125" style="142" customWidth="1"/>
    <col min="4602" max="4602" width="11" style="142" customWidth="1"/>
    <col min="4603" max="4603" width="10.83203125" style="142" customWidth="1"/>
    <col min="4604" max="4604" width="8.203125E-2" style="142" customWidth="1"/>
    <col min="4605" max="4852" width="9" style="142"/>
    <col min="4853" max="4853" width="4.08203125" style="142" customWidth="1"/>
    <col min="4854" max="4854" width="19.08203125" style="142" customWidth="1"/>
    <col min="4855" max="4855" width="6" style="142" customWidth="1"/>
    <col min="4856" max="4856" width="8.33203125" style="142" customWidth="1"/>
    <col min="4857" max="4857" width="10.83203125" style="142" customWidth="1"/>
    <col min="4858" max="4858" width="11" style="142" customWidth="1"/>
    <col min="4859" max="4859" width="10.83203125" style="142" customWidth="1"/>
    <col min="4860" max="4860" width="8.203125E-2" style="142" customWidth="1"/>
    <col min="4861" max="5108" width="9" style="142"/>
    <col min="5109" max="5109" width="4.08203125" style="142" customWidth="1"/>
    <col min="5110" max="5110" width="19.08203125" style="142" customWidth="1"/>
    <col min="5111" max="5111" width="6" style="142" customWidth="1"/>
    <col min="5112" max="5112" width="8.33203125" style="142" customWidth="1"/>
    <col min="5113" max="5113" width="10.83203125" style="142" customWidth="1"/>
    <col min="5114" max="5114" width="11" style="142" customWidth="1"/>
    <col min="5115" max="5115" width="10.83203125" style="142" customWidth="1"/>
    <col min="5116" max="5116" width="8.203125E-2" style="142" customWidth="1"/>
    <col min="5117" max="5364" width="9" style="142"/>
    <col min="5365" max="5365" width="4.08203125" style="142" customWidth="1"/>
    <col min="5366" max="5366" width="19.08203125" style="142" customWidth="1"/>
    <col min="5367" max="5367" width="6" style="142" customWidth="1"/>
    <col min="5368" max="5368" width="8.33203125" style="142" customWidth="1"/>
    <col min="5369" max="5369" width="10.83203125" style="142" customWidth="1"/>
    <col min="5370" max="5370" width="11" style="142" customWidth="1"/>
    <col min="5371" max="5371" width="10.83203125" style="142" customWidth="1"/>
    <col min="5372" max="5372" width="8.203125E-2" style="142" customWidth="1"/>
    <col min="5373" max="5620" width="9" style="142"/>
    <col min="5621" max="5621" width="4.08203125" style="142" customWidth="1"/>
    <col min="5622" max="5622" width="19.08203125" style="142" customWidth="1"/>
    <col min="5623" max="5623" width="6" style="142" customWidth="1"/>
    <col min="5624" max="5624" width="8.33203125" style="142" customWidth="1"/>
    <col min="5625" max="5625" width="10.83203125" style="142" customWidth="1"/>
    <col min="5626" max="5626" width="11" style="142" customWidth="1"/>
    <col min="5627" max="5627" width="10.83203125" style="142" customWidth="1"/>
    <col min="5628" max="5628" width="8.203125E-2" style="142" customWidth="1"/>
    <col min="5629" max="5876" width="9" style="142"/>
    <col min="5877" max="5877" width="4.08203125" style="142" customWidth="1"/>
    <col min="5878" max="5878" width="19.08203125" style="142" customWidth="1"/>
    <col min="5879" max="5879" width="6" style="142" customWidth="1"/>
    <col min="5880" max="5880" width="8.33203125" style="142" customWidth="1"/>
    <col min="5881" max="5881" width="10.83203125" style="142" customWidth="1"/>
    <col min="5882" max="5882" width="11" style="142" customWidth="1"/>
    <col min="5883" max="5883" width="10.83203125" style="142" customWidth="1"/>
    <col min="5884" max="5884" width="8.203125E-2" style="142" customWidth="1"/>
    <col min="5885" max="6132" width="9" style="142"/>
    <col min="6133" max="6133" width="4.08203125" style="142" customWidth="1"/>
    <col min="6134" max="6134" width="19.08203125" style="142" customWidth="1"/>
    <col min="6135" max="6135" width="6" style="142" customWidth="1"/>
    <col min="6136" max="6136" width="8.33203125" style="142" customWidth="1"/>
    <col min="6137" max="6137" width="10.83203125" style="142" customWidth="1"/>
    <col min="6138" max="6138" width="11" style="142" customWidth="1"/>
    <col min="6139" max="6139" width="10.83203125" style="142" customWidth="1"/>
    <col min="6140" max="6140" width="8.203125E-2" style="142" customWidth="1"/>
    <col min="6141" max="6388" width="9" style="142"/>
    <col min="6389" max="6389" width="4.08203125" style="142" customWidth="1"/>
    <col min="6390" max="6390" width="19.08203125" style="142" customWidth="1"/>
    <col min="6391" max="6391" width="6" style="142" customWidth="1"/>
    <col min="6392" max="6392" width="8.33203125" style="142" customWidth="1"/>
    <col min="6393" max="6393" width="10.83203125" style="142" customWidth="1"/>
    <col min="6394" max="6394" width="11" style="142" customWidth="1"/>
    <col min="6395" max="6395" width="10.83203125" style="142" customWidth="1"/>
    <col min="6396" max="6396" width="8.203125E-2" style="142" customWidth="1"/>
    <col min="6397" max="6644" width="9" style="142"/>
    <col min="6645" max="6645" width="4.08203125" style="142" customWidth="1"/>
    <col min="6646" max="6646" width="19.08203125" style="142" customWidth="1"/>
    <col min="6647" max="6647" width="6" style="142" customWidth="1"/>
    <col min="6648" max="6648" width="8.33203125" style="142" customWidth="1"/>
    <col min="6649" max="6649" width="10.83203125" style="142" customWidth="1"/>
    <col min="6650" max="6650" width="11" style="142" customWidth="1"/>
    <col min="6651" max="6651" width="10.83203125" style="142" customWidth="1"/>
    <col min="6652" max="6652" width="8.203125E-2" style="142" customWidth="1"/>
    <col min="6653" max="6900" width="9" style="142"/>
    <col min="6901" max="6901" width="4.08203125" style="142" customWidth="1"/>
    <col min="6902" max="6902" width="19.08203125" style="142" customWidth="1"/>
    <col min="6903" max="6903" width="6" style="142" customWidth="1"/>
    <col min="6904" max="6904" width="8.33203125" style="142" customWidth="1"/>
    <col min="6905" max="6905" width="10.83203125" style="142" customWidth="1"/>
    <col min="6906" max="6906" width="11" style="142" customWidth="1"/>
    <col min="6907" max="6907" width="10.83203125" style="142" customWidth="1"/>
    <col min="6908" max="6908" width="8.203125E-2" style="142" customWidth="1"/>
    <col min="6909" max="7156" width="9" style="142"/>
    <col min="7157" max="7157" width="4.08203125" style="142" customWidth="1"/>
    <col min="7158" max="7158" width="19.08203125" style="142" customWidth="1"/>
    <col min="7159" max="7159" width="6" style="142" customWidth="1"/>
    <col min="7160" max="7160" width="8.33203125" style="142" customWidth="1"/>
    <col min="7161" max="7161" width="10.83203125" style="142" customWidth="1"/>
    <col min="7162" max="7162" width="11" style="142" customWidth="1"/>
    <col min="7163" max="7163" width="10.83203125" style="142" customWidth="1"/>
    <col min="7164" max="7164" width="8.203125E-2" style="142" customWidth="1"/>
    <col min="7165" max="7412" width="9" style="142"/>
    <col min="7413" max="7413" width="4.08203125" style="142" customWidth="1"/>
    <col min="7414" max="7414" width="19.08203125" style="142" customWidth="1"/>
    <col min="7415" max="7415" width="6" style="142" customWidth="1"/>
    <col min="7416" max="7416" width="8.33203125" style="142" customWidth="1"/>
    <col min="7417" max="7417" width="10.83203125" style="142" customWidth="1"/>
    <col min="7418" max="7418" width="11" style="142" customWidth="1"/>
    <col min="7419" max="7419" width="10.83203125" style="142" customWidth="1"/>
    <col min="7420" max="7420" width="8.203125E-2" style="142" customWidth="1"/>
    <col min="7421" max="7668" width="9" style="142"/>
    <col min="7669" max="7669" width="4.08203125" style="142" customWidth="1"/>
    <col min="7670" max="7670" width="19.08203125" style="142" customWidth="1"/>
    <col min="7671" max="7671" width="6" style="142" customWidth="1"/>
    <col min="7672" max="7672" width="8.33203125" style="142" customWidth="1"/>
    <col min="7673" max="7673" width="10.83203125" style="142" customWidth="1"/>
    <col min="7674" max="7674" width="11" style="142" customWidth="1"/>
    <col min="7675" max="7675" width="10.83203125" style="142" customWidth="1"/>
    <col min="7676" max="7676" width="8.203125E-2" style="142" customWidth="1"/>
    <col min="7677" max="7924" width="9" style="142"/>
    <col min="7925" max="7925" width="4.08203125" style="142" customWidth="1"/>
    <col min="7926" max="7926" width="19.08203125" style="142" customWidth="1"/>
    <col min="7927" max="7927" width="6" style="142" customWidth="1"/>
    <col min="7928" max="7928" width="8.33203125" style="142" customWidth="1"/>
    <col min="7929" max="7929" width="10.83203125" style="142" customWidth="1"/>
    <col min="7930" max="7930" width="11" style="142" customWidth="1"/>
    <col min="7931" max="7931" width="10.83203125" style="142" customWidth="1"/>
    <col min="7932" max="7932" width="8.203125E-2" style="142" customWidth="1"/>
    <col min="7933" max="8180" width="9" style="142"/>
    <col min="8181" max="8181" width="4.08203125" style="142" customWidth="1"/>
    <col min="8182" max="8182" width="19.08203125" style="142" customWidth="1"/>
    <col min="8183" max="8183" width="6" style="142" customWidth="1"/>
    <col min="8184" max="8184" width="8.33203125" style="142" customWidth="1"/>
    <col min="8185" max="8185" width="10.83203125" style="142" customWidth="1"/>
    <col min="8186" max="8186" width="11" style="142" customWidth="1"/>
    <col min="8187" max="8187" width="10.83203125" style="142" customWidth="1"/>
    <col min="8188" max="8188" width="8.203125E-2" style="142" customWidth="1"/>
    <col min="8189" max="8436" width="9" style="142"/>
    <col min="8437" max="8437" width="4.08203125" style="142" customWidth="1"/>
    <col min="8438" max="8438" width="19.08203125" style="142" customWidth="1"/>
    <col min="8439" max="8439" width="6" style="142" customWidth="1"/>
    <col min="8440" max="8440" width="8.33203125" style="142" customWidth="1"/>
    <col min="8441" max="8441" width="10.83203125" style="142" customWidth="1"/>
    <col min="8442" max="8442" width="11" style="142" customWidth="1"/>
    <col min="8443" max="8443" width="10.83203125" style="142" customWidth="1"/>
    <col min="8444" max="8444" width="8.203125E-2" style="142" customWidth="1"/>
    <col min="8445" max="8692" width="9" style="142"/>
    <col min="8693" max="8693" width="4.08203125" style="142" customWidth="1"/>
    <col min="8694" max="8694" width="19.08203125" style="142" customWidth="1"/>
    <col min="8695" max="8695" width="6" style="142" customWidth="1"/>
    <col min="8696" max="8696" width="8.33203125" style="142" customWidth="1"/>
    <col min="8697" max="8697" width="10.83203125" style="142" customWidth="1"/>
    <col min="8698" max="8698" width="11" style="142" customWidth="1"/>
    <col min="8699" max="8699" width="10.83203125" style="142" customWidth="1"/>
    <col min="8700" max="8700" width="8.203125E-2" style="142" customWidth="1"/>
    <col min="8701" max="8948" width="9" style="142"/>
    <col min="8949" max="8949" width="4.08203125" style="142" customWidth="1"/>
    <col min="8950" max="8950" width="19.08203125" style="142" customWidth="1"/>
    <col min="8951" max="8951" width="6" style="142" customWidth="1"/>
    <col min="8952" max="8952" width="8.33203125" style="142" customWidth="1"/>
    <col min="8953" max="8953" width="10.83203125" style="142" customWidth="1"/>
    <col min="8954" max="8954" width="11" style="142" customWidth="1"/>
    <col min="8955" max="8955" width="10.83203125" style="142" customWidth="1"/>
    <col min="8956" max="8956" width="8.203125E-2" style="142" customWidth="1"/>
    <col min="8957" max="9204" width="9" style="142"/>
    <col min="9205" max="9205" width="4.08203125" style="142" customWidth="1"/>
    <col min="9206" max="9206" width="19.08203125" style="142" customWidth="1"/>
    <col min="9207" max="9207" width="6" style="142" customWidth="1"/>
    <col min="9208" max="9208" width="8.33203125" style="142" customWidth="1"/>
    <col min="9209" max="9209" width="10.83203125" style="142" customWidth="1"/>
    <col min="9210" max="9210" width="11" style="142" customWidth="1"/>
    <col min="9211" max="9211" width="10.83203125" style="142" customWidth="1"/>
    <col min="9212" max="9212" width="8.203125E-2" style="142" customWidth="1"/>
    <col min="9213" max="9460" width="9" style="142"/>
    <col min="9461" max="9461" width="4.08203125" style="142" customWidth="1"/>
    <col min="9462" max="9462" width="19.08203125" style="142" customWidth="1"/>
    <col min="9463" max="9463" width="6" style="142" customWidth="1"/>
    <col min="9464" max="9464" width="8.33203125" style="142" customWidth="1"/>
    <col min="9465" max="9465" width="10.83203125" style="142" customWidth="1"/>
    <col min="9466" max="9466" width="11" style="142" customWidth="1"/>
    <col min="9467" max="9467" width="10.83203125" style="142" customWidth="1"/>
    <col min="9468" max="9468" width="8.203125E-2" style="142" customWidth="1"/>
    <col min="9469" max="9716" width="9" style="142"/>
    <col min="9717" max="9717" width="4.08203125" style="142" customWidth="1"/>
    <col min="9718" max="9718" width="19.08203125" style="142" customWidth="1"/>
    <col min="9719" max="9719" width="6" style="142" customWidth="1"/>
    <col min="9720" max="9720" width="8.33203125" style="142" customWidth="1"/>
    <col min="9721" max="9721" width="10.83203125" style="142" customWidth="1"/>
    <col min="9722" max="9722" width="11" style="142" customWidth="1"/>
    <col min="9723" max="9723" width="10.83203125" style="142" customWidth="1"/>
    <col min="9724" max="9724" width="8.203125E-2" style="142" customWidth="1"/>
    <col min="9725" max="9972" width="9" style="142"/>
    <col min="9973" max="9973" width="4.08203125" style="142" customWidth="1"/>
    <col min="9974" max="9974" width="19.08203125" style="142" customWidth="1"/>
    <col min="9975" max="9975" width="6" style="142" customWidth="1"/>
    <col min="9976" max="9976" width="8.33203125" style="142" customWidth="1"/>
    <col min="9977" max="9977" width="10.83203125" style="142" customWidth="1"/>
    <col min="9978" max="9978" width="11" style="142" customWidth="1"/>
    <col min="9979" max="9979" width="10.83203125" style="142" customWidth="1"/>
    <col min="9980" max="9980" width="8.203125E-2" style="142" customWidth="1"/>
    <col min="9981" max="10228" width="9" style="142"/>
    <col min="10229" max="10229" width="4.08203125" style="142" customWidth="1"/>
    <col min="10230" max="10230" width="19.08203125" style="142" customWidth="1"/>
    <col min="10231" max="10231" width="6" style="142" customWidth="1"/>
    <col min="10232" max="10232" width="8.33203125" style="142" customWidth="1"/>
    <col min="10233" max="10233" width="10.83203125" style="142" customWidth="1"/>
    <col min="10234" max="10234" width="11" style="142" customWidth="1"/>
    <col min="10235" max="10235" width="10.83203125" style="142" customWidth="1"/>
    <col min="10236" max="10236" width="8.203125E-2" style="142" customWidth="1"/>
    <col min="10237" max="10484" width="9" style="142"/>
    <col min="10485" max="10485" width="4.08203125" style="142" customWidth="1"/>
    <col min="10486" max="10486" width="19.08203125" style="142" customWidth="1"/>
    <col min="10487" max="10487" width="6" style="142" customWidth="1"/>
    <col min="10488" max="10488" width="8.33203125" style="142" customWidth="1"/>
    <col min="10489" max="10489" width="10.83203125" style="142" customWidth="1"/>
    <col min="10490" max="10490" width="11" style="142" customWidth="1"/>
    <col min="10491" max="10491" width="10.83203125" style="142" customWidth="1"/>
    <col min="10492" max="10492" width="8.203125E-2" style="142" customWidth="1"/>
    <col min="10493" max="10740" width="9" style="142"/>
    <col min="10741" max="10741" width="4.08203125" style="142" customWidth="1"/>
    <col min="10742" max="10742" width="19.08203125" style="142" customWidth="1"/>
    <col min="10743" max="10743" width="6" style="142" customWidth="1"/>
    <col min="10744" max="10744" width="8.33203125" style="142" customWidth="1"/>
    <col min="10745" max="10745" width="10.83203125" style="142" customWidth="1"/>
    <col min="10746" max="10746" width="11" style="142" customWidth="1"/>
    <col min="10747" max="10747" width="10.83203125" style="142" customWidth="1"/>
    <col min="10748" max="10748" width="8.203125E-2" style="142" customWidth="1"/>
    <col min="10749" max="10996" width="9" style="142"/>
    <col min="10997" max="10997" width="4.08203125" style="142" customWidth="1"/>
    <col min="10998" max="10998" width="19.08203125" style="142" customWidth="1"/>
    <col min="10999" max="10999" width="6" style="142" customWidth="1"/>
    <col min="11000" max="11000" width="8.33203125" style="142" customWidth="1"/>
    <col min="11001" max="11001" width="10.83203125" style="142" customWidth="1"/>
    <col min="11002" max="11002" width="11" style="142" customWidth="1"/>
    <col min="11003" max="11003" width="10.83203125" style="142" customWidth="1"/>
    <col min="11004" max="11004" width="8.203125E-2" style="142" customWidth="1"/>
    <col min="11005" max="11252" width="9" style="142"/>
    <col min="11253" max="11253" width="4.08203125" style="142" customWidth="1"/>
    <col min="11254" max="11254" width="19.08203125" style="142" customWidth="1"/>
    <col min="11255" max="11255" width="6" style="142" customWidth="1"/>
    <col min="11256" max="11256" width="8.33203125" style="142" customWidth="1"/>
    <col min="11257" max="11257" width="10.83203125" style="142" customWidth="1"/>
    <col min="11258" max="11258" width="11" style="142" customWidth="1"/>
    <col min="11259" max="11259" width="10.83203125" style="142" customWidth="1"/>
    <col min="11260" max="11260" width="8.203125E-2" style="142" customWidth="1"/>
    <col min="11261" max="11508" width="9" style="142"/>
    <col min="11509" max="11509" width="4.08203125" style="142" customWidth="1"/>
    <col min="11510" max="11510" width="19.08203125" style="142" customWidth="1"/>
    <col min="11511" max="11511" width="6" style="142" customWidth="1"/>
    <col min="11512" max="11512" width="8.33203125" style="142" customWidth="1"/>
    <col min="11513" max="11513" width="10.83203125" style="142" customWidth="1"/>
    <col min="11514" max="11514" width="11" style="142" customWidth="1"/>
    <col min="11515" max="11515" width="10.83203125" style="142" customWidth="1"/>
    <col min="11516" max="11516" width="8.203125E-2" style="142" customWidth="1"/>
    <col min="11517" max="11764" width="9" style="142"/>
    <col min="11765" max="11765" width="4.08203125" style="142" customWidth="1"/>
    <col min="11766" max="11766" width="19.08203125" style="142" customWidth="1"/>
    <col min="11767" max="11767" width="6" style="142" customWidth="1"/>
    <col min="11768" max="11768" width="8.33203125" style="142" customWidth="1"/>
    <col min="11769" max="11769" width="10.83203125" style="142" customWidth="1"/>
    <col min="11770" max="11770" width="11" style="142" customWidth="1"/>
    <col min="11771" max="11771" width="10.83203125" style="142" customWidth="1"/>
    <col min="11772" max="11772" width="8.203125E-2" style="142" customWidth="1"/>
    <col min="11773" max="12020" width="9" style="142"/>
    <col min="12021" max="12021" width="4.08203125" style="142" customWidth="1"/>
    <col min="12022" max="12022" width="19.08203125" style="142" customWidth="1"/>
    <col min="12023" max="12023" width="6" style="142" customWidth="1"/>
    <col min="12024" max="12024" width="8.33203125" style="142" customWidth="1"/>
    <col min="12025" max="12025" width="10.83203125" style="142" customWidth="1"/>
    <col min="12026" max="12026" width="11" style="142" customWidth="1"/>
    <col min="12027" max="12027" width="10.83203125" style="142" customWidth="1"/>
    <col min="12028" max="12028" width="8.203125E-2" style="142" customWidth="1"/>
    <col min="12029" max="12276" width="9" style="142"/>
    <col min="12277" max="12277" width="4.08203125" style="142" customWidth="1"/>
    <col min="12278" max="12278" width="19.08203125" style="142" customWidth="1"/>
    <col min="12279" max="12279" width="6" style="142" customWidth="1"/>
    <col min="12280" max="12280" width="8.33203125" style="142" customWidth="1"/>
    <col min="12281" max="12281" width="10.83203125" style="142" customWidth="1"/>
    <col min="12282" max="12282" width="11" style="142" customWidth="1"/>
    <col min="12283" max="12283" width="10.83203125" style="142" customWidth="1"/>
    <col min="12284" max="12284" width="8.203125E-2" style="142" customWidth="1"/>
    <col min="12285" max="12532" width="9" style="142"/>
    <col min="12533" max="12533" width="4.08203125" style="142" customWidth="1"/>
    <col min="12534" max="12534" width="19.08203125" style="142" customWidth="1"/>
    <col min="12535" max="12535" width="6" style="142" customWidth="1"/>
    <col min="12536" max="12536" width="8.33203125" style="142" customWidth="1"/>
    <col min="12537" max="12537" width="10.83203125" style="142" customWidth="1"/>
    <col min="12538" max="12538" width="11" style="142" customWidth="1"/>
    <col min="12539" max="12539" width="10.83203125" style="142" customWidth="1"/>
    <col min="12540" max="12540" width="8.203125E-2" style="142" customWidth="1"/>
    <col min="12541" max="12788" width="9" style="142"/>
    <col min="12789" max="12789" width="4.08203125" style="142" customWidth="1"/>
    <col min="12790" max="12790" width="19.08203125" style="142" customWidth="1"/>
    <col min="12791" max="12791" width="6" style="142" customWidth="1"/>
    <col min="12792" max="12792" width="8.33203125" style="142" customWidth="1"/>
    <col min="12793" max="12793" width="10.83203125" style="142" customWidth="1"/>
    <col min="12794" max="12794" width="11" style="142" customWidth="1"/>
    <col min="12795" max="12795" width="10.83203125" style="142" customWidth="1"/>
    <col min="12796" max="12796" width="8.203125E-2" style="142" customWidth="1"/>
    <col min="12797" max="13044" width="9" style="142"/>
    <col min="13045" max="13045" width="4.08203125" style="142" customWidth="1"/>
    <col min="13046" max="13046" width="19.08203125" style="142" customWidth="1"/>
    <col min="13047" max="13047" width="6" style="142" customWidth="1"/>
    <col min="13048" max="13048" width="8.33203125" style="142" customWidth="1"/>
    <col min="13049" max="13049" width="10.83203125" style="142" customWidth="1"/>
    <col min="13050" max="13050" width="11" style="142" customWidth="1"/>
    <col min="13051" max="13051" width="10.83203125" style="142" customWidth="1"/>
    <col min="13052" max="13052" width="8.203125E-2" style="142" customWidth="1"/>
    <col min="13053" max="13300" width="9" style="142"/>
    <col min="13301" max="13301" width="4.08203125" style="142" customWidth="1"/>
    <col min="13302" max="13302" width="19.08203125" style="142" customWidth="1"/>
    <col min="13303" max="13303" width="6" style="142" customWidth="1"/>
    <col min="13304" max="13304" width="8.33203125" style="142" customWidth="1"/>
    <col min="13305" max="13305" width="10.83203125" style="142" customWidth="1"/>
    <col min="13306" max="13306" width="11" style="142" customWidth="1"/>
    <col min="13307" max="13307" width="10.83203125" style="142" customWidth="1"/>
    <col min="13308" max="13308" width="8.203125E-2" style="142" customWidth="1"/>
    <col min="13309" max="13556" width="9" style="142"/>
    <col min="13557" max="13557" width="4.08203125" style="142" customWidth="1"/>
    <col min="13558" max="13558" width="19.08203125" style="142" customWidth="1"/>
    <col min="13559" max="13559" width="6" style="142" customWidth="1"/>
    <col min="13560" max="13560" width="8.33203125" style="142" customWidth="1"/>
    <col min="13561" max="13561" width="10.83203125" style="142" customWidth="1"/>
    <col min="13562" max="13562" width="11" style="142" customWidth="1"/>
    <col min="13563" max="13563" width="10.83203125" style="142" customWidth="1"/>
    <col min="13564" max="13564" width="8.203125E-2" style="142" customWidth="1"/>
    <col min="13565" max="13812" width="9" style="142"/>
    <col min="13813" max="13813" width="4.08203125" style="142" customWidth="1"/>
    <col min="13814" max="13814" width="19.08203125" style="142" customWidth="1"/>
    <col min="13815" max="13815" width="6" style="142" customWidth="1"/>
    <col min="13816" max="13816" width="8.33203125" style="142" customWidth="1"/>
    <col min="13817" max="13817" width="10.83203125" style="142" customWidth="1"/>
    <col min="13818" max="13818" width="11" style="142" customWidth="1"/>
    <col min="13819" max="13819" width="10.83203125" style="142" customWidth="1"/>
    <col min="13820" max="13820" width="8.203125E-2" style="142" customWidth="1"/>
    <col min="13821" max="14068" width="9" style="142"/>
    <col min="14069" max="14069" width="4.08203125" style="142" customWidth="1"/>
    <col min="14070" max="14070" width="19.08203125" style="142" customWidth="1"/>
    <col min="14071" max="14071" width="6" style="142" customWidth="1"/>
    <col min="14072" max="14072" width="8.33203125" style="142" customWidth="1"/>
    <col min="14073" max="14073" width="10.83203125" style="142" customWidth="1"/>
    <col min="14074" max="14074" width="11" style="142" customWidth="1"/>
    <col min="14075" max="14075" width="10.83203125" style="142" customWidth="1"/>
    <col min="14076" max="14076" width="8.203125E-2" style="142" customWidth="1"/>
    <col min="14077" max="14324" width="9" style="142"/>
    <col min="14325" max="14325" width="4.08203125" style="142" customWidth="1"/>
    <col min="14326" max="14326" width="19.08203125" style="142" customWidth="1"/>
    <col min="14327" max="14327" width="6" style="142" customWidth="1"/>
    <col min="14328" max="14328" width="8.33203125" style="142" customWidth="1"/>
    <col min="14329" max="14329" width="10.83203125" style="142" customWidth="1"/>
    <col min="14330" max="14330" width="11" style="142" customWidth="1"/>
    <col min="14331" max="14331" width="10.83203125" style="142" customWidth="1"/>
    <col min="14332" max="14332" width="8.203125E-2" style="142" customWidth="1"/>
    <col min="14333" max="14580" width="9" style="142"/>
    <col min="14581" max="14581" width="4.08203125" style="142" customWidth="1"/>
    <col min="14582" max="14582" width="19.08203125" style="142" customWidth="1"/>
    <col min="14583" max="14583" width="6" style="142" customWidth="1"/>
    <col min="14584" max="14584" width="8.33203125" style="142" customWidth="1"/>
    <col min="14585" max="14585" width="10.83203125" style="142" customWidth="1"/>
    <col min="14586" max="14586" width="11" style="142" customWidth="1"/>
    <col min="14587" max="14587" width="10.83203125" style="142" customWidth="1"/>
    <col min="14588" max="14588" width="8.203125E-2" style="142" customWidth="1"/>
    <col min="14589" max="14836" width="9" style="142"/>
    <col min="14837" max="14837" width="4.08203125" style="142" customWidth="1"/>
    <col min="14838" max="14838" width="19.08203125" style="142" customWidth="1"/>
    <col min="14839" max="14839" width="6" style="142" customWidth="1"/>
    <col min="14840" max="14840" width="8.33203125" style="142" customWidth="1"/>
    <col min="14841" max="14841" width="10.83203125" style="142" customWidth="1"/>
    <col min="14842" max="14842" width="11" style="142" customWidth="1"/>
    <col min="14843" max="14843" width="10.83203125" style="142" customWidth="1"/>
    <col min="14844" max="14844" width="8.203125E-2" style="142" customWidth="1"/>
    <col min="14845" max="15092" width="9" style="142"/>
    <col min="15093" max="15093" width="4.08203125" style="142" customWidth="1"/>
    <col min="15094" max="15094" width="19.08203125" style="142" customWidth="1"/>
    <col min="15095" max="15095" width="6" style="142" customWidth="1"/>
    <col min="15096" max="15096" width="8.33203125" style="142" customWidth="1"/>
    <col min="15097" max="15097" width="10.83203125" style="142" customWidth="1"/>
    <col min="15098" max="15098" width="11" style="142" customWidth="1"/>
    <col min="15099" max="15099" width="10.83203125" style="142" customWidth="1"/>
    <col min="15100" max="15100" width="8.203125E-2" style="142" customWidth="1"/>
    <col min="15101" max="15348" width="9" style="142"/>
    <col min="15349" max="15349" width="4.08203125" style="142" customWidth="1"/>
    <col min="15350" max="15350" width="19.08203125" style="142" customWidth="1"/>
    <col min="15351" max="15351" width="6" style="142" customWidth="1"/>
    <col min="15352" max="15352" width="8.33203125" style="142" customWidth="1"/>
    <col min="15353" max="15353" width="10.83203125" style="142" customWidth="1"/>
    <col min="15354" max="15354" width="11" style="142" customWidth="1"/>
    <col min="15355" max="15355" width="10.83203125" style="142" customWidth="1"/>
    <col min="15356" max="15356" width="8.203125E-2" style="142" customWidth="1"/>
    <col min="15357" max="15604" width="9" style="142"/>
    <col min="15605" max="15605" width="4.08203125" style="142" customWidth="1"/>
    <col min="15606" max="15606" width="19.08203125" style="142" customWidth="1"/>
    <col min="15607" max="15607" width="6" style="142" customWidth="1"/>
    <col min="15608" max="15608" width="8.33203125" style="142" customWidth="1"/>
    <col min="15609" max="15609" width="10.83203125" style="142" customWidth="1"/>
    <col min="15610" max="15610" width="11" style="142" customWidth="1"/>
    <col min="15611" max="15611" width="10.83203125" style="142" customWidth="1"/>
    <col min="15612" max="15612" width="8.203125E-2" style="142" customWidth="1"/>
    <col min="15613" max="15860" width="9" style="142"/>
    <col min="15861" max="15861" width="4.08203125" style="142" customWidth="1"/>
    <col min="15862" max="15862" width="19.08203125" style="142" customWidth="1"/>
    <col min="15863" max="15863" width="6" style="142" customWidth="1"/>
    <col min="15864" max="15864" width="8.33203125" style="142" customWidth="1"/>
    <col min="15865" max="15865" width="10.83203125" style="142" customWidth="1"/>
    <col min="15866" max="15866" width="11" style="142" customWidth="1"/>
    <col min="15867" max="15867" width="10.83203125" style="142" customWidth="1"/>
    <col min="15868" max="15868" width="8.203125E-2" style="142" customWidth="1"/>
    <col min="15869" max="16116" width="9" style="142"/>
    <col min="16117" max="16117" width="4.08203125" style="142" customWidth="1"/>
    <col min="16118" max="16118" width="19.08203125" style="142" customWidth="1"/>
    <col min="16119" max="16119" width="6" style="142" customWidth="1"/>
    <col min="16120" max="16120" width="8.33203125" style="142" customWidth="1"/>
    <col min="16121" max="16121" width="10.83203125" style="142" customWidth="1"/>
    <col min="16122" max="16122" width="11" style="142" customWidth="1"/>
    <col min="16123" max="16123" width="10.83203125" style="142" customWidth="1"/>
    <col min="16124" max="16124" width="8.203125E-2" style="142" customWidth="1"/>
    <col min="16125" max="16373" width="9" style="142"/>
    <col min="16374" max="16384" width="9" style="142" customWidth="1"/>
  </cols>
  <sheetData>
    <row r="1" spans="1:11" ht="31.5" customHeight="1">
      <c r="A1" s="141" t="s">
        <v>7</v>
      </c>
      <c r="B1" s="141" t="s">
        <v>8</v>
      </c>
      <c r="C1" s="141" t="s">
        <v>9</v>
      </c>
      <c r="D1" s="141" t="str">
        <f>'TSSS '!D11</f>
        <v>DG 703096</v>
      </c>
      <c r="E1" s="141" t="str">
        <f>'TSSS '!E11</f>
        <v>TSSS1</v>
      </c>
      <c r="F1" s="141" t="str">
        <f>'TSSS '!F11</f>
        <v>TSSS2</v>
      </c>
      <c r="G1" s="141" t="str">
        <f>'TSSS '!G11</f>
        <v>TSSS3</v>
      </c>
    </row>
    <row r="2" spans="1:11" ht="42">
      <c r="A2" s="141" t="s">
        <v>11</v>
      </c>
      <c r="B2" s="143" t="s">
        <v>222</v>
      </c>
      <c r="C2" s="141" t="s">
        <v>12</v>
      </c>
      <c r="D2" s="144"/>
      <c r="E2" s="270">
        <f>'TSSS '!E49</f>
        <v>3828515800</v>
      </c>
      <c r="F2" s="270">
        <f>'TSSS '!F49</f>
        <v>4574625000</v>
      </c>
      <c r="G2" s="270">
        <f>'TSSS '!G49</f>
        <v>1988851050</v>
      </c>
      <c r="I2" s="215"/>
      <c r="J2" s="215"/>
      <c r="K2" s="215"/>
    </row>
    <row r="3" spans="1:11" ht="28">
      <c r="A3" s="141" t="s">
        <v>13</v>
      </c>
      <c r="B3" s="143" t="s">
        <v>42</v>
      </c>
      <c r="C3" s="145" t="s">
        <v>200</v>
      </c>
      <c r="D3" s="146"/>
      <c r="E3" s="270">
        <f>'TSSS '!E50</f>
        <v>12050726.471514007</v>
      </c>
      <c r="F3" s="270">
        <f>'TSSS '!F50</f>
        <v>12041655.698868124</v>
      </c>
      <c r="G3" s="270">
        <f>'TSSS '!G50</f>
        <v>13188667.440318301</v>
      </c>
      <c r="I3" s="215"/>
      <c r="J3" s="215"/>
      <c r="K3" s="215"/>
    </row>
    <row r="4" spans="1:11" ht="26.25" customHeight="1">
      <c r="A4" s="141" t="s">
        <v>14</v>
      </c>
      <c r="B4" s="143" t="s">
        <v>15</v>
      </c>
      <c r="C4" s="141"/>
      <c r="D4" s="141"/>
      <c r="E4" s="147"/>
      <c r="F4" s="147"/>
      <c r="G4" s="147"/>
      <c r="I4" s="215"/>
      <c r="J4" s="215"/>
      <c r="K4" s="215"/>
    </row>
    <row r="5" spans="1:11" ht="42" hidden="1">
      <c r="A5" s="446" t="s">
        <v>16</v>
      </c>
      <c r="B5" s="143" t="str">
        <f>'TSSS '!B19</f>
        <v>Tính chất giao dịch</v>
      </c>
      <c r="C5" s="141"/>
      <c r="D5" s="141" t="str">
        <f>'TSSS '!D19</f>
        <v>Giao dịch bình thường trên thị trường</v>
      </c>
      <c r="E5" s="141" t="str">
        <f>'TSSS '!E19</f>
        <v>Giao dịch bình thường trên thị trường</v>
      </c>
      <c r="F5" s="141" t="str">
        <f>'TSSS '!F19</f>
        <v>Giao dịch bình thường trên thị trường</v>
      </c>
      <c r="G5" s="141" t="str">
        <f>'TSSS '!G19</f>
        <v>Giao dịch bình thường trên thị trường</v>
      </c>
      <c r="I5" s="215"/>
      <c r="J5" s="215"/>
      <c r="K5" s="215"/>
    </row>
    <row r="6" spans="1:11" ht="18" hidden="1" customHeight="1">
      <c r="A6" s="447"/>
      <c r="B6" s="148" t="s">
        <v>17</v>
      </c>
      <c r="C6" s="146" t="s">
        <v>18</v>
      </c>
      <c r="D6" s="149"/>
      <c r="E6" s="149">
        <v>0</v>
      </c>
      <c r="F6" s="149">
        <v>0</v>
      </c>
      <c r="G6" s="149">
        <v>0</v>
      </c>
      <c r="I6" s="216">
        <f>IF(E6=0,0,1)</f>
        <v>0</v>
      </c>
      <c r="J6" s="216">
        <f>IF(F6=0,0,1)</f>
        <v>0</v>
      </c>
      <c r="K6" s="216">
        <f>IF(G6=0,0,1)</f>
        <v>0</v>
      </c>
    </row>
    <row r="7" spans="1:11" ht="18" hidden="1" customHeight="1">
      <c r="A7" s="447"/>
      <c r="B7" s="148" t="s">
        <v>19</v>
      </c>
      <c r="C7" s="152" t="s">
        <v>200</v>
      </c>
      <c r="D7" s="146"/>
      <c r="E7" s="153">
        <f>E6*E3</f>
        <v>0</v>
      </c>
      <c r="F7" s="153">
        <f>F6*F3</f>
        <v>0</v>
      </c>
      <c r="G7" s="153">
        <f t="shared" ref="G7" si="0">G6*G3</f>
        <v>0</v>
      </c>
      <c r="I7" s="217">
        <f>ABS(E6)</f>
        <v>0</v>
      </c>
      <c r="J7" s="217">
        <f>ABS(F6)</f>
        <v>0</v>
      </c>
      <c r="K7" s="217">
        <f>ABS(G6)</f>
        <v>0</v>
      </c>
    </row>
    <row r="8" spans="1:11" hidden="1">
      <c r="A8" s="448"/>
      <c r="B8" s="148" t="s">
        <v>201</v>
      </c>
      <c r="C8" s="152" t="s">
        <v>200</v>
      </c>
      <c r="D8" s="146"/>
      <c r="E8" s="153">
        <f>E7+E3</f>
        <v>12050726.471514007</v>
      </c>
      <c r="F8" s="153">
        <f t="shared" ref="F8:G8" si="1">F7+F3</f>
        <v>12041655.698868124</v>
      </c>
      <c r="G8" s="153">
        <f t="shared" si="1"/>
        <v>13188667.440318301</v>
      </c>
      <c r="I8" s="217">
        <f>IF(E6=0,100%,ABS(E6))</f>
        <v>1</v>
      </c>
      <c r="J8" s="217">
        <f>IF(F6=0,100%,ABS(F6))</f>
        <v>1</v>
      </c>
      <c r="K8" s="217">
        <f>IF(G6=0,100%,ABS(G6))</f>
        <v>1</v>
      </c>
    </row>
    <row r="9" spans="1:11" ht="28">
      <c r="A9" s="446" t="s">
        <v>16</v>
      </c>
      <c r="B9" s="143" t="s">
        <v>6</v>
      </c>
      <c r="C9" s="141"/>
      <c r="D9" s="141" t="str">
        <f>'TSSS '!D20</f>
        <v>Có Giấy chứng nhận Quyền sử dụng đất</v>
      </c>
      <c r="E9" s="141" t="str">
        <f>'TSSS '!E20</f>
        <v>Có Giấy chứng nhận Quyền sử dụng đất</v>
      </c>
      <c r="F9" s="141" t="str">
        <f>'TSSS '!F20</f>
        <v>Có Giấy chứng nhận Quyền sử dụng đất</v>
      </c>
      <c r="G9" s="141" t="str">
        <f>'TSSS '!G20</f>
        <v>Có Giấy chứng nhận Quyền sử dụng đất</v>
      </c>
      <c r="I9" s="240"/>
      <c r="J9" s="240"/>
      <c r="K9" s="240"/>
    </row>
    <row r="10" spans="1:11" ht="18" customHeight="1">
      <c r="A10" s="447"/>
      <c r="B10" s="148" t="s">
        <v>17</v>
      </c>
      <c r="C10" s="146" t="s">
        <v>18</v>
      </c>
      <c r="D10" s="146"/>
      <c r="E10" s="150">
        <v>0</v>
      </c>
      <c r="F10" s="150">
        <v>0</v>
      </c>
      <c r="G10" s="150">
        <v>0</v>
      </c>
      <c r="H10" s="151"/>
      <c r="I10" s="216">
        <f>IF(E10=0,0,1)</f>
        <v>0</v>
      </c>
      <c r="J10" s="216">
        <f>IF(F10=0,0,1)</f>
        <v>0</v>
      </c>
      <c r="K10" s="216">
        <f>IF(G10=0,0,1)</f>
        <v>0</v>
      </c>
    </row>
    <row r="11" spans="1:11" ht="18" customHeight="1">
      <c r="A11" s="447"/>
      <c r="B11" s="148" t="s">
        <v>19</v>
      </c>
      <c r="C11" s="152" t="s">
        <v>200</v>
      </c>
      <c r="D11" s="146"/>
      <c r="E11" s="153">
        <f>E3*E10</f>
        <v>0</v>
      </c>
      <c r="F11" s="153">
        <f>F3*F10</f>
        <v>0</v>
      </c>
      <c r="G11" s="153">
        <f>G3*G10</f>
        <v>0</v>
      </c>
      <c r="I11" s="217">
        <f>ABS(E10)</f>
        <v>0</v>
      </c>
      <c r="J11" s="217">
        <f>ABS(F10)</f>
        <v>0</v>
      </c>
      <c r="K11" s="217">
        <f>ABS(G10)</f>
        <v>0</v>
      </c>
    </row>
    <row r="12" spans="1:11">
      <c r="A12" s="448"/>
      <c r="B12" s="148" t="s">
        <v>201</v>
      </c>
      <c r="C12" s="152" t="s">
        <v>200</v>
      </c>
      <c r="D12" s="146"/>
      <c r="E12" s="153">
        <f>E11+E3</f>
        <v>12050726.471514007</v>
      </c>
      <c r="F12" s="153">
        <f>F11+F3</f>
        <v>12041655.698868124</v>
      </c>
      <c r="G12" s="153">
        <f>G11+G3</f>
        <v>13188667.440318301</v>
      </c>
      <c r="I12" s="217">
        <f>IF(E10=0,100%,ABS(E10))</f>
        <v>1</v>
      </c>
      <c r="J12" s="217">
        <f>IF(F10=0,100%,ABS(F10))</f>
        <v>1</v>
      </c>
      <c r="K12" s="217">
        <f>IF(G10=0,100%,ABS(G10))</f>
        <v>1</v>
      </c>
    </row>
    <row r="13" spans="1:11" hidden="1">
      <c r="A13" s="446" t="s">
        <v>21</v>
      </c>
      <c r="B13" s="143" t="str">
        <f>'TSSS '!B21</f>
        <v>Mục đích sử dụng</v>
      </c>
      <c r="C13" s="146"/>
      <c r="D13" s="141" t="str">
        <f>'TSSS '!D21</f>
        <v>Đất ở tại đô thị</v>
      </c>
      <c r="E13" s="141" t="str">
        <f>'TSSS '!E21</f>
        <v>Đất ở tại đô thị</v>
      </c>
      <c r="F13" s="141" t="str">
        <f>'TSSS '!F21</f>
        <v>Đất ở tại đô thị</v>
      </c>
      <c r="G13" s="141" t="str">
        <f>'TSSS '!G21</f>
        <v>Đất ở tại đô thị</v>
      </c>
      <c r="I13" s="217"/>
      <c r="J13" s="217"/>
      <c r="K13" s="217"/>
    </row>
    <row r="14" spans="1:11" ht="18" hidden="1" customHeight="1">
      <c r="A14" s="447"/>
      <c r="B14" s="148" t="s">
        <v>17</v>
      </c>
      <c r="C14" s="146" t="s">
        <v>18</v>
      </c>
      <c r="D14" s="146"/>
      <c r="E14" s="150">
        <v>0</v>
      </c>
      <c r="F14" s="150">
        <v>0</v>
      </c>
      <c r="G14" s="150">
        <v>0</v>
      </c>
      <c r="H14" s="151"/>
      <c r="I14" s="216">
        <f>IF(E14=0,0,1)</f>
        <v>0</v>
      </c>
      <c r="J14" s="216">
        <f>IF(F14=0,0,1)</f>
        <v>0</v>
      </c>
      <c r="K14" s="216">
        <f>IF(G14=0,0,1)</f>
        <v>0</v>
      </c>
    </row>
    <row r="15" spans="1:11" ht="18" hidden="1" customHeight="1">
      <c r="A15" s="447"/>
      <c r="B15" s="148" t="s">
        <v>19</v>
      </c>
      <c r="C15" s="152" t="s">
        <v>200</v>
      </c>
      <c r="D15" s="146"/>
      <c r="E15" s="153">
        <f>E3*E14</f>
        <v>0</v>
      </c>
      <c r="F15" s="153">
        <f t="shared" ref="F15:G15" si="2">F3*F14</f>
        <v>0</v>
      </c>
      <c r="G15" s="153">
        <f t="shared" si="2"/>
        <v>0</v>
      </c>
      <c r="I15" s="217">
        <f>ABS(E14)</f>
        <v>0</v>
      </c>
      <c r="J15" s="217">
        <f>ABS(F14)</f>
        <v>0</v>
      </c>
      <c r="K15" s="217">
        <f>ABS(G14)</f>
        <v>0</v>
      </c>
    </row>
    <row r="16" spans="1:11" hidden="1">
      <c r="A16" s="448"/>
      <c r="B16" s="148" t="s">
        <v>201</v>
      </c>
      <c r="C16" s="152" t="s">
        <v>200</v>
      </c>
      <c r="D16" s="146"/>
      <c r="E16" s="153">
        <f>E15+E12</f>
        <v>12050726.471514007</v>
      </c>
      <c r="F16" s="153">
        <f>F15+F12</f>
        <v>12041655.698868124</v>
      </c>
      <c r="G16" s="153">
        <f>G15+G12</f>
        <v>13188667.440318301</v>
      </c>
      <c r="I16" s="217">
        <f>IF(E14=0,100%,ABS(E14))</f>
        <v>1</v>
      </c>
      <c r="J16" s="217">
        <f>IF(F14=0,100%,ABS(F14))</f>
        <v>1</v>
      </c>
      <c r="K16" s="217">
        <f>IF(G14=0,100%,ABS(G14))</f>
        <v>1</v>
      </c>
    </row>
    <row r="17" spans="1:14" ht="28" hidden="1">
      <c r="A17" s="446" t="s">
        <v>22</v>
      </c>
      <c r="B17" s="143" t="str">
        <f>'TSSS '!B22</f>
        <v>Thời hạn sử dụng đất</v>
      </c>
      <c r="C17" s="141"/>
      <c r="D17" s="141" t="str">
        <f>'TSSS '!D22</f>
        <v>Lâu dài</v>
      </c>
      <c r="E17" s="141" t="str">
        <f>'TSSS '!E22</f>
        <v>Lâu dài</v>
      </c>
      <c r="F17" s="141" t="str">
        <f>'TSSS '!F22</f>
        <v>Lâu dài</v>
      </c>
      <c r="G17" s="141" t="str">
        <f>'TSSS '!G22</f>
        <v>Lâu dài</v>
      </c>
      <c r="I17" s="217"/>
      <c r="J17" s="217"/>
      <c r="K17" s="217"/>
    </row>
    <row r="18" spans="1:14" hidden="1">
      <c r="A18" s="447"/>
      <c r="B18" s="148" t="s">
        <v>17</v>
      </c>
      <c r="C18" s="146" t="s">
        <v>18</v>
      </c>
      <c r="D18" s="146"/>
      <c r="E18" s="150">
        <v>0</v>
      </c>
      <c r="F18" s="150">
        <v>0</v>
      </c>
      <c r="G18" s="150">
        <v>0</v>
      </c>
      <c r="H18" s="151"/>
      <c r="I18" s="216">
        <f>IF(E18=0,0,1)</f>
        <v>0</v>
      </c>
      <c r="J18" s="216">
        <f>IF(F18=0,0,1)</f>
        <v>0</v>
      </c>
      <c r="K18" s="216">
        <f>IF(G18=0,0,1)</f>
        <v>0</v>
      </c>
    </row>
    <row r="19" spans="1:14" hidden="1">
      <c r="A19" s="447"/>
      <c r="B19" s="148" t="s">
        <v>19</v>
      </c>
      <c r="C19" s="152" t="s">
        <v>200</v>
      </c>
      <c r="D19" s="146"/>
      <c r="E19" s="153">
        <f>E3*E18</f>
        <v>0</v>
      </c>
      <c r="F19" s="153">
        <f>F3*F18</f>
        <v>0</v>
      </c>
      <c r="G19" s="153">
        <f>G3*G18</f>
        <v>0</v>
      </c>
      <c r="I19" s="217">
        <f>ABS(E18)</f>
        <v>0</v>
      </c>
      <c r="J19" s="217">
        <f>ABS(F18)</f>
        <v>0</v>
      </c>
      <c r="K19" s="217">
        <f>ABS(G18)</f>
        <v>0</v>
      </c>
    </row>
    <row r="20" spans="1:14" hidden="1">
      <c r="A20" s="448"/>
      <c r="B20" s="148" t="s">
        <v>201</v>
      </c>
      <c r="C20" s="152" t="s">
        <v>200</v>
      </c>
      <c r="D20" s="146"/>
      <c r="E20" s="153">
        <f>E19+E16</f>
        <v>12050726.471514007</v>
      </c>
      <c r="F20" s="153">
        <f>F19+F16</f>
        <v>12041655.698868124</v>
      </c>
      <c r="G20" s="153">
        <f>G19+G16</f>
        <v>13188667.440318301</v>
      </c>
      <c r="I20" s="217">
        <f>IF(E18=0,100%,ABS(E18))</f>
        <v>1</v>
      </c>
      <c r="J20" s="217">
        <f>IF(F18=0,100%,ABS(F18))</f>
        <v>1</v>
      </c>
      <c r="K20" s="217">
        <f>IF(G18=0,100%,ABS(G18))</f>
        <v>1</v>
      </c>
    </row>
    <row r="21" spans="1:14" ht="42">
      <c r="A21" s="446" t="s">
        <v>20</v>
      </c>
      <c r="B21" s="143" t="str">
        <f>'TSSS '!B23</f>
        <v>Vị trí</v>
      </c>
      <c r="C21" s="141"/>
      <c r="D21" s="141" t="str">
        <f>'TSSS '!D23</f>
        <v>Vị trí 1 đường DT702, giao thông thuận tiện</v>
      </c>
      <c r="E21" s="141" t="str">
        <f>'TSSS '!E23</f>
        <v>Vị trí 1 đường DT702, giao thông thuận tiện</v>
      </c>
      <c r="F21" s="141" t="str">
        <f>'TSSS '!F23</f>
        <v>Vị trí 1 đường DT702, giao thông thuận tiện</v>
      </c>
      <c r="G21" s="141" t="str">
        <f>'TSSS '!G23</f>
        <v>Vị trí 1 đường DT702, giao thông thuận tiện</v>
      </c>
      <c r="I21" s="215"/>
      <c r="J21" s="215"/>
      <c r="K21" s="215"/>
    </row>
    <row r="22" spans="1:14">
      <c r="A22" s="447"/>
      <c r="B22" s="148" t="s">
        <v>17</v>
      </c>
      <c r="C22" s="146" t="s">
        <v>18</v>
      </c>
      <c r="D22" s="146"/>
      <c r="E22" s="190">
        <v>0</v>
      </c>
      <c r="F22" s="190">
        <v>0</v>
      </c>
      <c r="G22" s="190">
        <v>0</v>
      </c>
      <c r="H22" s="151"/>
      <c r="I22" s="216">
        <f>IF(E22=0,0,1)</f>
        <v>0</v>
      </c>
      <c r="J22" s="216">
        <f>IF(F22=0,0,1)</f>
        <v>0</v>
      </c>
      <c r="K22" s="216">
        <f>IF(G22=0,0,1)</f>
        <v>0</v>
      </c>
    </row>
    <row r="23" spans="1:14" ht="18" customHeight="1">
      <c r="A23" s="447"/>
      <c r="B23" s="148" t="s">
        <v>19</v>
      </c>
      <c r="C23" s="152" t="s">
        <v>200</v>
      </c>
      <c r="D23" s="146"/>
      <c r="E23" s="153">
        <f>E20*E22</f>
        <v>0</v>
      </c>
      <c r="F23" s="153">
        <f t="shared" ref="F23:G23" si="3">F20*F22</f>
        <v>0</v>
      </c>
      <c r="G23" s="153">
        <f t="shared" si="3"/>
        <v>0</v>
      </c>
      <c r="I23" s="217">
        <f>ABS(E22)</f>
        <v>0</v>
      </c>
      <c r="J23" s="217">
        <f>ABS(F22)</f>
        <v>0</v>
      </c>
      <c r="K23" s="217">
        <f>ABS(G22)</f>
        <v>0</v>
      </c>
    </row>
    <row r="24" spans="1:14">
      <c r="A24" s="448"/>
      <c r="B24" s="148" t="s">
        <v>201</v>
      </c>
      <c r="C24" s="152" t="s">
        <v>200</v>
      </c>
      <c r="D24" s="146"/>
      <c r="E24" s="153">
        <f>E23+E20</f>
        <v>12050726.471514007</v>
      </c>
      <c r="F24" s="153">
        <f>F23+F20</f>
        <v>12041655.698868124</v>
      </c>
      <c r="G24" s="153">
        <f>G23+G20</f>
        <v>13188667.440318301</v>
      </c>
      <c r="I24" s="217">
        <f>IF(E22=0,100%,ABS(E22))</f>
        <v>1</v>
      </c>
      <c r="J24" s="217">
        <f>IF(F22=0,100%,ABS(F22))</f>
        <v>1</v>
      </c>
      <c r="K24" s="217">
        <f>IF(G22=0,100%,ABS(G22))</f>
        <v>1</v>
      </c>
    </row>
    <row r="25" spans="1:14" ht="36" customHeight="1">
      <c r="A25" s="446" t="s">
        <v>21</v>
      </c>
      <c r="B25" s="143" t="str">
        <f>'TSSS '!B24</f>
        <v>Đường trước mặt tài sản</v>
      </c>
      <c r="C25" s="141"/>
      <c r="D25" s="141" t="str">
        <f>'TSSS '!C24</f>
        <v>20m</v>
      </c>
      <c r="E25" s="141" t="str">
        <f>'TSSS '!E24</f>
        <v>20m</v>
      </c>
      <c r="F25" s="141" t="str">
        <f>'TSSS '!F24</f>
        <v>20m</v>
      </c>
      <c r="G25" s="141" t="str">
        <f>'TSSS '!G24</f>
        <v>20m</v>
      </c>
      <c r="I25" s="215">
        <f>I29/20</f>
        <v>-4.214999999999999</v>
      </c>
      <c r="J25" s="215">
        <f t="shared" ref="J25:K25" si="4">J29/20</f>
        <v>-7.3249999999999984</v>
      </c>
      <c r="K25" s="215">
        <f t="shared" si="4"/>
        <v>4.13</v>
      </c>
    </row>
    <row r="26" spans="1:14">
      <c r="A26" s="447"/>
      <c r="B26" s="148" t="s">
        <v>17</v>
      </c>
      <c r="C26" s="146" t="s">
        <v>18</v>
      </c>
      <c r="D26" s="146"/>
      <c r="E26" s="190">
        <v>0</v>
      </c>
      <c r="F26" s="190">
        <v>0</v>
      </c>
      <c r="G26" s="190">
        <v>0</v>
      </c>
      <c r="H26" s="151"/>
      <c r="I26" s="216">
        <f>IF(E26=0,0,1)</f>
        <v>0</v>
      </c>
      <c r="J26" s="216">
        <f>IF(F26=0,0,1)</f>
        <v>0</v>
      </c>
      <c r="K26" s="216">
        <f>IF(G26=0,0,1)</f>
        <v>0</v>
      </c>
    </row>
    <row r="27" spans="1:14" ht="18" customHeight="1">
      <c r="A27" s="447"/>
      <c r="B27" s="148" t="s">
        <v>19</v>
      </c>
      <c r="C27" s="152" t="s">
        <v>200</v>
      </c>
      <c r="D27" s="146"/>
      <c r="E27" s="153">
        <f>E20*E26</f>
        <v>0</v>
      </c>
      <c r="F27" s="153">
        <f t="shared" ref="F27:G27" si="5">F20*F26</f>
        <v>0</v>
      </c>
      <c r="G27" s="153">
        <f t="shared" si="5"/>
        <v>0</v>
      </c>
      <c r="I27" s="217">
        <f>ABS(E26)</f>
        <v>0</v>
      </c>
      <c r="J27" s="217">
        <f>ABS(F26)</f>
        <v>0</v>
      </c>
      <c r="K27" s="217">
        <f>ABS(G26)</f>
        <v>0</v>
      </c>
    </row>
    <row r="28" spans="1:14">
      <c r="A28" s="448"/>
      <c r="B28" s="148" t="s">
        <v>201</v>
      </c>
      <c r="C28" s="152" t="s">
        <v>200</v>
      </c>
      <c r="D28" s="146"/>
      <c r="E28" s="153">
        <f>E27+E24</f>
        <v>12050726.471514007</v>
      </c>
      <c r="F28" s="153">
        <f>F27+F24</f>
        <v>12041655.698868124</v>
      </c>
      <c r="G28" s="153">
        <f>G27+G24</f>
        <v>13188667.440318301</v>
      </c>
      <c r="I28" s="217">
        <f>IF(E26=0,100%,ABS(E26))</f>
        <v>1</v>
      </c>
      <c r="J28" s="217">
        <f>IF(F26=0,100%,ABS(F26))</f>
        <v>1</v>
      </c>
      <c r="K28" s="217">
        <f>IF(G26=0,100%,ABS(G26))</f>
        <v>1</v>
      </c>
    </row>
    <row r="29" spans="1:14">
      <c r="A29" s="446" t="s">
        <v>22</v>
      </c>
      <c r="B29" s="143" t="str">
        <f>'TSSS '!B25</f>
        <v>Diện tích đất (m²)</v>
      </c>
      <c r="C29" s="141" t="s">
        <v>263</v>
      </c>
      <c r="D29" s="141">
        <f>'TSSS '!C25</f>
        <v>233.4</v>
      </c>
      <c r="E29" s="141">
        <f>'TSSS '!E26</f>
        <v>317.7</v>
      </c>
      <c r="F29" s="141">
        <f>'TSSS '!F26</f>
        <v>379.9</v>
      </c>
      <c r="G29" s="141">
        <f>'TSSS '!G26</f>
        <v>150.80000000000001</v>
      </c>
      <c r="I29" s="215">
        <f>$D$29-E29</f>
        <v>-84.299999999999983</v>
      </c>
      <c r="J29" s="215">
        <f t="shared" ref="J29:K29" si="6">$D$29-F29</f>
        <v>-146.49999999999997</v>
      </c>
      <c r="K29" s="215">
        <f t="shared" si="6"/>
        <v>82.6</v>
      </c>
      <c r="L29" s="142">
        <f>I29/10</f>
        <v>-8.4299999999999979</v>
      </c>
      <c r="M29" s="142">
        <f t="shared" ref="M29:N29" si="7">J29/10</f>
        <v>-14.649999999999997</v>
      </c>
      <c r="N29" s="142">
        <f t="shared" si="7"/>
        <v>8.26</v>
      </c>
    </row>
    <row r="30" spans="1:14">
      <c r="A30" s="447"/>
      <c r="B30" s="148" t="s">
        <v>17</v>
      </c>
      <c r="C30" s="146" t="s">
        <v>18</v>
      </c>
      <c r="D30" s="146"/>
      <c r="E30" s="190">
        <v>0.15</v>
      </c>
      <c r="F30" s="190">
        <v>0.15</v>
      </c>
      <c r="G30" s="190">
        <v>-0.05</v>
      </c>
      <c r="H30" s="151"/>
      <c r="I30" s="216">
        <f>IF(E30=0,0,1)</f>
        <v>1</v>
      </c>
      <c r="J30" s="216">
        <f>IF(F30=0,0,1)</f>
        <v>1</v>
      </c>
      <c r="K30" s="216">
        <f>IF(G30=0,0,1)</f>
        <v>1</v>
      </c>
    </row>
    <row r="31" spans="1:14">
      <c r="A31" s="447"/>
      <c r="B31" s="148" t="s">
        <v>19</v>
      </c>
      <c r="C31" s="152" t="s">
        <v>200</v>
      </c>
      <c r="D31" s="146"/>
      <c r="E31" s="153">
        <f>E20*E30</f>
        <v>1807608.970727101</v>
      </c>
      <c r="F31" s="153">
        <f>F20*F30</f>
        <v>1806248.3548302185</v>
      </c>
      <c r="G31" s="153">
        <f t="shared" ref="G31" si="8">G20*G30</f>
        <v>-659433.37201591511</v>
      </c>
      <c r="I31" s="217">
        <f>ABS(E30)</f>
        <v>0.15</v>
      </c>
      <c r="J31" s="217">
        <f>ABS(F30)</f>
        <v>0.15</v>
      </c>
      <c r="K31" s="217">
        <f>ABS(G30)</f>
        <v>0.05</v>
      </c>
    </row>
    <row r="32" spans="1:14">
      <c r="A32" s="448"/>
      <c r="B32" s="148" t="s">
        <v>201</v>
      </c>
      <c r="C32" s="152" t="s">
        <v>200</v>
      </c>
      <c r="D32" s="146"/>
      <c r="E32" s="153">
        <f>E31+E28</f>
        <v>13858335.442241108</v>
      </c>
      <c r="F32" s="153">
        <f t="shared" ref="F32:G32" si="9">F31+F28</f>
        <v>13847904.053698342</v>
      </c>
      <c r="G32" s="153">
        <f t="shared" si="9"/>
        <v>12529234.068302386</v>
      </c>
      <c r="I32" s="217">
        <f>IF(E30=0,100%,ABS(E30))</f>
        <v>0.15</v>
      </c>
      <c r="J32" s="217">
        <f>IF(F30=0,100%,ABS(F30))</f>
        <v>0.15</v>
      </c>
      <c r="K32" s="217">
        <f>IF(G30=0,100%,ABS(G30))</f>
        <v>0.05</v>
      </c>
    </row>
    <row r="33" spans="1:14">
      <c r="A33" s="446" t="s">
        <v>23</v>
      </c>
      <c r="B33" s="154" t="str">
        <f>'TSSS '!B28</f>
        <v>Mặt tiền (m)</v>
      </c>
      <c r="C33" s="145" t="s">
        <v>264</v>
      </c>
      <c r="D33" s="141">
        <v>5.99</v>
      </c>
      <c r="E33" s="141">
        <f>'TSSS '!E28</f>
        <v>10</v>
      </c>
      <c r="F33" s="141">
        <f>'TSSS '!F28</f>
        <v>12</v>
      </c>
      <c r="G33" s="141">
        <f>'TSSS '!G28</f>
        <v>7</v>
      </c>
      <c r="I33" s="215"/>
      <c r="J33" s="215"/>
      <c r="K33" s="215"/>
      <c r="L33" s="142">
        <f>E33-$D$33</f>
        <v>4.01</v>
      </c>
      <c r="M33" s="142">
        <f t="shared" ref="M33:N33" si="10">F33-$D$33</f>
        <v>6.01</v>
      </c>
      <c r="N33" s="142">
        <f t="shared" si="10"/>
        <v>1.0099999999999998</v>
      </c>
    </row>
    <row r="34" spans="1:14">
      <c r="A34" s="447"/>
      <c r="B34" s="148" t="s">
        <v>17</v>
      </c>
      <c r="C34" s="146" t="s">
        <v>18</v>
      </c>
      <c r="D34" s="146"/>
      <c r="E34" s="190">
        <v>-0.05</v>
      </c>
      <c r="F34" s="190">
        <v>-0.05</v>
      </c>
      <c r="G34" s="190">
        <v>0</v>
      </c>
      <c r="H34" s="151"/>
      <c r="I34" s="216">
        <f>IF(E34=0,0,1)</f>
        <v>1</v>
      </c>
      <c r="J34" s="216">
        <f>IF(F34=0,0,1)</f>
        <v>1</v>
      </c>
      <c r="K34" s="216">
        <f>IF(G34=0,0,1)</f>
        <v>0</v>
      </c>
    </row>
    <row r="35" spans="1:14">
      <c r="A35" s="447"/>
      <c r="B35" s="148" t="s">
        <v>19</v>
      </c>
      <c r="C35" s="152" t="s">
        <v>200</v>
      </c>
      <c r="D35" s="146"/>
      <c r="E35" s="153">
        <f>E20*E34</f>
        <v>-602536.3235757004</v>
      </c>
      <c r="F35" s="153">
        <f t="shared" ref="F35:G35" si="11">F20*F34</f>
        <v>-602082.78494340624</v>
      </c>
      <c r="G35" s="153">
        <f t="shared" si="11"/>
        <v>0</v>
      </c>
      <c r="I35" s="217">
        <f>ABS(E34)</f>
        <v>0.05</v>
      </c>
      <c r="J35" s="217">
        <f>ABS(F34)</f>
        <v>0.05</v>
      </c>
      <c r="K35" s="217">
        <f>ABS(G34)</f>
        <v>0</v>
      </c>
    </row>
    <row r="36" spans="1:14">
      <c r="A36" s="448"/>
      <c r="B36" s="148" t="s">
        <v>201</v>
      </c>
      <c r="C36" s="152" t="s">
        <v>200</v>
      </c>
      <c r="D36" s="146"/>
      <c r="E36" s="153">
        <f>E35+E32</f>
        <v>13255799.118665408</v>
      </c>
      <c r="F36" s="153">
        <f t="shared" ref="F36" si="12">F35+F32</f>
        <v>13245821.268754937</v>
      </c>
      <c r="G36" s="153">
        <f t="shared" ref="G36" si="13">G35+G32</f>
        <v>12529234.068302386</v>
      </c>
      <c r="I36" s="217">
        <f>IF(E34=0,100%,ABS(E34))</f>
        <v>0.05</v>
      </c>
      <c r="J36" s="217">
        <f>IF(F34=0,100%,ABS(F34))</f>
        <v>0.05</v>
      </c>
      <c r="K36" s="217">
        <f>IF(G34=0,100%,ABS(G34))</f>
        <v>1</v>
      </c>
    </row>
    <row r="37" spans="1:14" s="189" customFormat="1" hidden="1">
      <c r="A37" s="449" t="s">
        <v>52</v>
      </c>
      <c r="B37" s="241" t="str">
        <f>'TSSS '!B29</f>
        <v>Chiều sâu (m)</v>
      </c>
      <c r="C37" s="242"/>
      <c r="D37" s="188">
        <f>'TSSS '!D29</f>
        <v>21.34</v>
      </c>
      <c r="E37" s="188">
        <f>'TSSS '!E29</f>
        <v>0</v>
      </c>
      <c r="F37" s="188">
        <f>'TSSS '!F29</f>
        <v>0</v>
      </c>
      <c r="G37" s="188">
        <f>'TSSS '!G29</f>
        <v>0</v>
      </c>
      <c r="I37" s="243"/>
      <c r="J37" s="243"/>
      <c r="K37" s="243"/>
    </row>
    <row r="38" spans="1:14" s="189" customFormat="1" hidden="1">
      <c r="A38" s="450"/>
      <c r="B38" s="182" t="s">
        <v>17</v>
      </c>
      <c r="C38" s="180" t="s">
        <v>18</v>
      </c>
      <c r="D38" s="180"/>
      <c r="E38" s="190">
        <v>0</v>
      </c>
      <c r="F38" s="190">
        <v>0</v>
      </c>
      <c r="G38" s="190">
        <v>0</v>
      </c>
      <c r="H38" s="191"/>
      <c r="I38" s="244">
        <f>IF(E38=0,0,1)</f>
        <v>0</v>
      </c>
      <c r="J38" s="244">
        <f>IF(F38=0,0,1)</f>
        <v>0</v>
      </c>
      <c r="K38" s="244">
        <f>IF(G38=0,0,1)</f>
        <v>0</v>
      </c>
    </row>
    <row r="39" spans="1:14" s="189" customFormat="1" hidden="1">
      <c r="A39" s="450"/>
      <c r="B39" s="182" t="s">
        <v>19</v>
      </c>
      <c r="C39" s="186" t="s">
        <v>200</v>
      </c>
      <c r="D39" s="180"/>
      <c r="E39" s="192">
        <f>E20*E38</f>
        <v>0</v>
      </c>
      <c r="F39" s="192">
        <f t="shared" ref="F39:G39" si="14">F20*F38</f>
        <v>0</v>
      </c>
      <c r="G39" s="192">
        <f t="shared" si="14"/>
        <v>0</v>
      </c>
      <c r="I39" s="245">
        <f>ABS(E38)</f>
        <v>0</v>
      </c>
      <c r="J39" s="245">
        <f>ABS(F38)</f>
        <v>0</v>
      </c>
      <c r="K39" s="245">
        <f>ABS(G38)</f>
        <v>0</v>
      </c>
    </row>
    <row r="40" spans="1:14" s="189" customFormat="1" hidden="1">
      <c r="A40" s="451"/>
      <c r="B40" s="182" t="s">
        <v>201</v>
      </c>
      <c r="C40" s="186" t="s">
        <v>200</v>
      </c>
      <c r="D40" s="180"/>
      <c r="E40" s="192">
        <f>E39+E36</f>
        <v>13255799.118665408</v>
      </c>
      <c r="F40" s="192">
        <f>F39+F36</f>
        <v>13245821.268754937</v>
      </c>
      <c r="G40" s="192">
        <f>G39+G36</f>
        <v>12529234.068302386</v>
      </c>
      <c r="I40" s="245">
        <f>IF(E38=0,100%,ABS(E38))</f>
        <v>1</v>
      </c>
      <c r="J40" s="245">
        <f>IF(F38=0,100%,ABS(F38))</f>
        <v>1</v>
      </c>
      <c r="K40" s="245">
        <f>IF(G38=0,100%,ABS(G38))</f>
        <v>1</v>
      </c>
    </row>
    <row r="41" spans="1:14" ht="28">
      <c r="A41" s="446" t="s">
        <v>24</v>
      </c>
      <c r="B41" s="143" t="str">
        <f>'TSSS '!B30</f>
        <v>Số lượng mặt tiếp giáp</v>
      </c>
      <c r="C41" s="146"/>
      <c r="D41" s="141" t="str">
        <f>'TSSS '!D30</f>
        <v>1 mặt tiền</v>
      </c>
      <c r="E41" s="141" t="str">
        <f>'TSSS '!E30</f>
        <v>1 mặt tiền</v>
      </c>
      <c r="F41" s="141" t="str">
        <f>'TSSS '!F30</f>
        <v>1 mặt tiền</v>
      </c>
      <c r="G41" s="141" t="str">
        <f>'TSSS '!G30</f>
        <v>1 mặt tiền</v>
      </c>
      <c r="I41" s="215"/>
      <c r="J41" s="215"/>
      <c r="K41" s="215"/>
    </row>
    <row r="42" spans="1:14">
      <c r="A42" s="447"/>
      <c r="B42" s="148" t="s">
        <v>17</v>
      </c>
      <c r="C42" s="146" t="s">
        <v>18</v>
      </c>
      <c r="D42" s="146"/>
      <c r="E42" s="190">
        <v>0</v>
      </c>
      <c r="F42" s="190">
        <v>0</v>
      </c>
      <c r="G42" s="190">
        <v>0</v>
      </c>
      <c r="H42" s="151"/>
      <c r="I42" s="216">
        <f>IF(E42=0,0,1)</f>
        <v>0</v>
      </c>
      <c r="J42" s="216">
        <f>IF(F42=0,0,1)</f>
        <v>0</v>
      </c>
      <c r="K42" s="216">
        <f>IF(G42=0,0,1)</f>
        <v>0</v>
      </c>
    </row>
    <row r="43" spans="1:14">
      <c r="A43" s="447"/>
      <c r="B43" s="148" t="s">
        <v>19</v>
      </c>
      <c r="C43" s="152" t="s">
        <v>200</v>
      </c>
      <c r="D43" s="146"/>
      <c r="E43" s="153">
        <f>E20*E42</f>
        <v>0</v>
      </c>
      <c r="F43" s="153">
        <f t="shared" ref="F43:G43" si="15">F20*F42</f>
        <v>0</v>
      </c>
      <c r="G43" s="153">
        <f t="shared" si="15"/>
        <v>0</v>
      </c>
      <c r="I43" s="217">
        <f>ABS(E42)</f>
        <v>0</v>
      </c>
      <c r="J43" s="217">
        <f>ABS(F42)</f>
        <v>0</v>
      </c>
      <c r="K43" s="217">
        <f>ABS(G42)</f>
        <v>0</v>
      </c>
    </row>
    <row r="44" spans="1:14">
      <c r="A44" s="448"/>
      <c r="B44" s="148" t="s">
        <v>201</v>
      </c>
      <c r="C44" s="152" t="s">
        <v>200</v>
      </c>
      <c r="D44" s="146"/>
      <c r="E44" s="153">
        <f>E43+E40</f>
        <v>13255799.118665408</v>
      </c>
      <c r="F44" s="153">
        <f>F43+F40</f>
        <v>13245821.268754937</v>
      </c>
      <c r="G44" s="153">
        <f>G43+G40</f>
        <v>12529234.068302386</v>
      </c>
      <c r="I44" s="217">
        <f>IF(E42=0,100%,ABS(E42))</f>
        <v>1</v>
      </c>
      <c r="J44" s="217">
        <f>IF(F42=0,100%,ABS(F42))</f>
        <v>1</v>
      </c>
      <c r="K44" s="217">
        <f>IF(G42=0,100%,ABS(G42))</f>
        <v>1</v>
      </c>
    </row>
    <row r="45" spans="1:14" ht="28">
      <c r="A45" s="446" t="s">
        <v>50</v>
      </c>
      <c r="B45" s="143" t="str">
        <f>'TSSS '!B31</f>
        <v>Hình dáng thửa đất</v>
      </c>
      <c r="C45" s="146"/>
      <c r="D45" s="141" t="str">
        <f>'TSSS '!C31</f>
        <v>Vuông vắn</v>
      </c>
      <c r="E45" s="141" t="str">
        <f>'TSSS '!E31</f>
        <v>Vuông vắn</v>
      </c>
      <c r="F45" s="141" t="str">
        <f>'TSSS '!F31</f>
        <v>Vuông vắn</v>
      </c>
      <c r="G45" s="141" t="str">
        <f>'TSSS '!G31</f>
        <v>Vuông vắn</v>
      </c>
      <c r="I45" s="215"/>
      <c r="J45" s="215"/>
      <c r="K45" s="215"/>
    </row>
    <row r="46" spans="1:14">
      <c r="A46" s="447"/>
      <c r="B46" s="148" t="s">
        <v>17</v>
      </c>
      <c r="C46" s="146" t="s">
        <v>18</v>
      </c>
      <c r="D46" s="146"/>
      <c r="E46" s="190">
        <v>0</v>
      </c>
      <c r="F46" s="190">
        <v>0</v>
      </c>
      <c r="G46" s="190">
        <v>0</v>
      </c>
      <c r="H46" s="151"/>
      <c r="I46" s="216">
        <f>IF(E46=0,0,1)</f>
        <v>0</v>
      </c>
      <c r="J46" s="216">
        <f>IF(F46=0,0,1)</f>
        <v>0</v>
      </c>
      <c r="K46" s="216">
        <f>IF(G46=0,0,1)</f>
        <v>0</v>
      </c>
    </row>
    <row r="47" spans="1:14">
      <c r="A47" s="447"/>
      <c r="B47" s="148" t="s">
        <v>19</v>
      </c>
      <c r="C47" s="152" t="s">
        <v>200</v>
      </c>
      <c r="D47" s="146"/>
      <c r="E47" s="153">
        <f>E20*E46</f>
        <v>0</v>
      </c>
      <c r="F47" s="153">
        <f>F20*F46</f>
        <v>0</v>
      </c>
      <c r="G47" s="153">
        <f t="shared" ref="G47" si="16">G20*G46</f>
        <v>0</v>
      </c>
      <c r="I47" s="217">
        <f>ABS(E46)</f>
        <v>0</v>
      </c>
      <c r="J47" s="217">
        <f>ABS(F46)</f>
        <v>0</v>
      </c>
      <c r="K47" s="217">
        <f>ABS(G46)</f>
        <v>0</v>
      </c>
    </row>
    <row r="48" spans="1:14">
      <c r="A48" s="448"/>
      <c r="B48" s="148" t="s">
        <v>201</v>
      </c>
      <c r="C48" s="152" t="s">
        <v>200</v>
      </c>
      <c r="D48" s="146"/>
      <c r="E48" s="153">
        <f>E47+E44</f>
        <v>13255799.118665408</v>
      </c>
      <c r="F48" s="153">
        <f t="shared" ref="F48:G48" si="17">F47+F44</f>
        <v>13245821.268754937</v>
      </c>
      <c r="G48" s="153">
        <f t="shared" si="17"/>
        <v>12529234.068302386</v>
      </c>
      <c r="I48" s="217">
        <f>IF(E46=0,100%,ABS(E46))</f>
        <v>1</v>
      </c>
      <c r="J48" s="217">
        <f>IF(F46=0,100%,ABS(F46))</f>
        <v>1</v>
      </c>
      <c r="K48" s="217">
        <f>IF(G46=0,100%,ABS(G46))</f>
        <v>1</v>
      </c>
    </row>
    <row r="49" spans="1:11" ht="42.5" hidden="1" customHeight="1">
      <c r="A49" s="446" t="s">
        <v>51</v>
      </c>
      <c r="B49" s="143" t="str">
        <f>'TSSS '!B33</f>
        <v>Yếu tố phong thủy</v>
      </c>
      <c r="C49" s="146"/>
      <c r="D49" s="141" t="str">
        <f>'TSSS '!D33</f>
        <v>Không có bất lợi thương mại</v>
      </c>
      <c r="E49" s="141" t="str">
        <f>'TSSS '!E33</f>
        <v>Không có bất lợi thương mại</v>
      </c>
      <c r="F49" s="141" t="str">
        <f>'TSSS '!F33</f>
        <v>Không có bất lợi thương mại</v>
      </c>
      <c r="G49" s="141" t="str">
        <f>'TSSS '!G33</f>
        <v>Không có bất lợi thương mại</v>
      </c>
      <c r="I49" s="240"/>
      <c r="J49" s="240"/>
      <c r="K49" s="240"/>
    </row>
    <row r="50" spans="1:11" hidden="1">
      <c r="A50" s="447"/>
      <c r="B50" s="148" t="s">
        <v>17</v>
      </c>
      <c r="C50" s="146" t="s">
        <v>18</v>
      </c>
      <c r="D50" s="146"/>
      <c r="E50" s="190">
        <v>0</v>
      </c>
      <c r="F50" s="190">
        <v>0</v>
      </c>
      <c r="G50" s="190">
        <v>0</v>
      </c>
      <c r="H50" s="151"/>
      <c r="I50" s="246">
        <f>IF(E50=0,0,1)</f>
        <v>0</v>
      </c>
      <c r="J50" s="246">
        <f>IF(F50=0,0,1)</f>
        <v>0</v>
      </c>
      <c r="K50" s="246">
        <f>IF(G50=0,0,1)</f>
        <v>0</v>
      </c>
    </row>
    <row r="51" spans="1:11" hidden="1">
      <c r="A51" s="447"/>
      <c r="B51" s="148" t="s">
        <v>19</v>
      </c>
      <c r="C51" s="152" t="s">
        <v>200</v>
      </c>
      <c r="D51" s="146"/>
      <c r="E51" s="153">
        <f>E20*E50</f>
        <v>0</v>
      </c>
      <c r="F51" s="153">
        <f t="shared" ref="F51:G51" si="18">F20*F50</f>
        <v>0</v>
      </c>
      <c r="G51" s="153">
        <f t="shared" si="18"/>
        <v>0</v>
      </c>
      <c r="I51" s="247">
        <f>ABS(E50)</f>
        <v>0</v>
      </c>
      <c r="J51" s="247">
        <f>ABS(F50)</f>
        <v>0</v>
      </c>
      <c r="K51" s="247">
        <f>ABS(G50)</f>
        <v>0</v>
      </c>
    </row>
    <row r="52" spans="1:11" hidden="1">
      <c r="A52" s="448"/>
      <c r="B52" s="148" t="s">
        <v>201</v>
      </c>
      <c r="C52" s="152" t="s">
        <v>200</v>
      </c>
      <c r="D52" s="146"/>
      <c r="E52" s="153">
        <f>E51+E48</f>
        <v>13255799.118665408</v>
      </c>
      <c r="F52" s="153">
        <f t="shared" ref="F52:G52" si="19">F51+F48</f>
        <v>13245821.268754937</v>
      </c>
      <c r="G52" s="153">
        <f t="shared" si="19"/>
        <v>12529234.068302386</v>
      </c>
      <c r="I52" s="247">
        <f>IF(E50=0,100%,ABS(E50))</f>
        <v>1</v>
      </c>
      <c r="J52" s="247">
        <f>IF(F50=0,100%,ABS(F50))</f>
        <v>1</v>
      </c>
      <c r="K52" s="247">
        <f>IF(G50=0,100%,ABS(G50))</f>
        <v>1</v>
      </c>
    </row>
    <row r="53" spans="1:11" s="189" customFormat="1" ht="28" hidden="1">
      <c r="A53" s="449" t="s">
        <v>228</v>
      </c>
      <c r="B53" s="187" t="str">
        <f>'TSSS '!B33</f>
        <v>Yếu tố phong thủy</v>
      </c>
      <c r="C53" s="180"/>
      <c r="D53" s="188" t="str">
        <f>'TSSS '!D33</f>
        <v>Không có bất lợi thương mại</v>
      </c>
      <c r="E53" s="188" t="str">
        <f>'TSSS '!E33</f>
        <v>Không có bất lợi thương mại</v>
      </c>
      <c r="F53" s="188" t="str">
        <f>'TSSS '!F33</f>
        <v>Không có bất lợi thương mại</v>
      </c>
      <c r="G53" s="188" t="str">
        <f>'TSSS '!G33</f>
        <v>Không có bất lợi thương mại</v>
      </c>
      <c r="I53" s="243"/>
      <c r="J53" s="243"/>
      <c r="K53" s="243"/>
    </row>
    <row r="54" spans="1:11" s="189" customFormat="1" hidden="1">
      <c r="A54" s="450"/>
      <c r="B54" s="182" t="s">
        <v>17</v>
      </c>
      <c r="C54" s="180" t="s">
        <v>18</v>
      </c>
      <c r="D54" s="180"/>
      <c r="E54" s="190">
        <v>0</v>
      </c>
      <c r="F54" s="190">
        <v>0</v>
      </c>
      <c r="G54" s="190">
        <v>0</v>
      </c>
      <c r="H54" s="191"/>
      <c r="I54" s="244">
        <f>IF(E54=0,0,1)</f>
        <v>0</v>
      </c>
      <c r="J54" s="244">
        <f>IF(F54=0,0,1)</f>
        <v>0</v>
      </c>
      <c r="K54" s="244">
        <f>IF(G54=0,0,1)</f>
        <v>0</v>
      </c>
    </row>
    <row r="55" spans="1:11" s="189" customFormat="1" hidden="1">
      <c r="A55" s="450"/>
      <c r="B55" s="182" t="s">
        <v>19</v>
      </c>
      <c r="C55" s="186" t="s">
        <v>200</v>
      </c>
      <c r="D55" s="180"/>
      <c r="E55" s="192">
        <f>E20*E54</f>
        <v>0</v>
      </c>
      <c r="F55" s="192">
        <f t="shared" ref="F55:G55" si="20">F20*F54</f>
        <v>0</v>
      </c>
      <c r="G55" s="192">
        <f t="shared" si="20"/>
        <v>0</v>
      </c>
      <c r="I55" s="245">
        <f>ABS(E54)</f>
        <v>0</v>
      </c>
      <c r="J55" s="245">
        <f>ABS(F54)</f>
        <v>0</v>
      </c>
      <c r="K55" s="245">
        <f>ABS(G54)</f>
        <v>0</v>
      </c>
    </row>
    <row r="56" spans="1:11" s="189" customFormat="1" hidden="1">
      <c r="A56" s="451"/>
      <c r="B56" s="182" t="s">
        <v>201</v>
      </c>
      <c r="C56" s="186" t="s">
        <v>200</v>
      </c>
      <c r="D56" s="180"/>
      <c r="E56" s="192">
        <f t="shared" ref="E56:G56" si="21">E55+E52</f>
        <v>13255799.118665408</v>
      </c>
      <c r="F56" s="192">
        <f t="shared" si="21"/>
        <v>13245821.268754937</v>
      </c>
      <c r="G56" s="192">
        <f t="shared" si="21"/>
        <v>12529234.068302386</v>
      </c>
      <c r="I56" s="245">
        <f>IF(E54=0,100%,ABS(E54))</f>
        <v>1</v>
      </c>
      <c r="J56" s="245">
        <f>IF(F54=0,100%,ABS(F54))</f>
        <v>1</v>
      </c>
      <c r="K56" s="245">
        <f>IF(G54=0,100%,ABS(G54))</f>
        <v>1</v>
      </c>
    </row>
    <row r="57" spans="1:11" ht="28">
      <c r="A57" s="446" t="s">
        <v>52</v>
      </c>
      <c r="B57" s="143" t="str">
        <f>'TSSS '!B34</f>
        <v>Điều kiện cơ sở hạ tầng kỹ thuật</v>
      </c>
      <c r="C57" s="146"/>
      <c r="D57" s="141" t="str">
        <f>'TSSS '!D33</f>
        <v>Không có bất lợi thương mại</v>
      </c>
      <c r="E57" s="141" t="str">
        <f>'TSSS '!E33</f>
        <v>Không có bất lợi thương mại</v>
      </c>
      <c r="F57" s="141" t="str">
        <f>'TSSS '!F33</f>
        <v>Không có bất lợi thương mại</v>
      </c>
      <c r="G57" s="141" t="str">
        <f>'TSSS '!G33</f>
        <v>Không có bất lợi thương mại</v>
      </c>
      <c r="I57" s="215"/>
      <c r="J57" s="215"/>
      <c r="K57" s="215"/>
    </row>
    <row r="58" spans="1:11">
      <c r="A58" s="447"/>
      <c r="B58" s="148" t="s">
        <v>17</v>
      </c>
      <c r="C58" s="146" t="s">
        <v>18</v>
      </c>
      <c r="D58" s="146"/>
      <c r="E58" s="190">
        <v>0</v>
      </c>
      <c r="F58" s="190">
        <v>0</v>
      </c>
      <c r="G58" s="190">
        <v>0</v>
      </c>
      <c r="H58" s="151"/>
      <c r="I58" s="216">
        <f>IF(E58=0,0,1)</f>
        <v>0</v>
      </c>
      <c r="J58" s="216">
        <f>IF(F58=0,0,1)</f>
        <v>0</v>
      </c>
      <c r="K58" s="216">
        <f>IF(G58=0,0,1)</f>
        <v>0</v>
      </c>
    </row>
    <row r="59" spans="1:11">
      <c r="A59" s="447"/>
      <c r="B59" s="148" t="s">
        <v>19</v>
      </c>
      <c r="C59" s="152" t="s">
        <v>200</v>
      </c>
      <c r="D59" s="146"/>
      <c r="E59" s="153">
        <f>E20*E58</f>
        <v>0</v>
      </c>
      <c r="F59" s="153">
        <f t="shared" ref="F59:G59" si="22">F20*F58</f>
        <v>0</v>
      </c>
      <c r="G59" s="153">
        <f t="shared" si="22"/>
        <v>0</v>
      </c>
      <c r="I59" s="217">
        <f>ABS(E58)</f>
        <v>0</v>
      </c>
      <c r="J59" s="217">
        <f>ABS(F58)</f>
        <v>0</v>
      </c>
      <c r="K59" s="217">
        <f>ABS(G58)</f>
        <v>0</v>
      </c>
    </row>
    <row r="60" spans="1:11">
      <c r="A60" s="448"/>
      <c r="B60" s="148" t="s">
        <v>201</v>
      </c>
      <c r="C60" s="152" t="s">
        <v>200</v>
      </c>
      <c r="D60" s="146"/>
      <c r="E60" s="153">
        <f t="shared" ref="E60:G60" si="23">E59+E56</f>
        <v>13255799.118665408</v>
      </c>
      <c r="F60" s="153">
        <f t="shared" si="23"/>
        <v>13245821.268754937</v>
      </c>
      <c r="G60" s="153">
        <f t="shared" si="23"/>
        <v>12529234.068302386</v>
      </c>
      <c r="I60" s="217">
        <f>IF(E58=0,100%,ABS(E58))</f>
        <v>1</v>
      </c>
      <c r="J60" s="217">
        <f>IF(F58=0,100%,ABS(F58))</f>
        <v>1</v>
      </c>
      <c r="K60" s="217">
        <f>IF(G58=0,100%,ABS(G58))</f>
        <v>1</v>
      </c>
    </row>
    <row r="61" spans="1:11">
      <c r="A61" s="446" t="s">
        <v>231</v>
      </c>
      <c r="B61" s="143" t="str">
        <f>'TSSS '!B35</f>
        <v>Giao thông</v>
      </c>
      <c r="C61" s="146"/>
      <c r="D61" s="141" t="str">
        <f>'TSSS '!C35</f>
        <v>Đường nhựa</v>
      </c>
      <c r="E61" s="141" t="str">
        <f>'TSSS '!F35</f>
        <v>Đường nhựa</v>
      </c>
      <c r="F61" s="141" t="str">
        <f>'TSSS '!G35</f>
        <v>Đường nhựa</v>
      </c>
      <c r="G61" s="141" t="str">
        <f>'TSSS '!G35</f>
        <v>Đường nhựa</v>
      </c>
      <c r="I61" s="215"/>
      <c r="J61" s="215"/>
      <c r="K61" s="215"/>
    </row>
    <row r="62" spans="1:11">
      <c r="A62" s="447"/>
      <c r="B62" s="148" t="s">
        <v>17</v>
      </c>
      <c r="C62" s="146" t="s">
        <v>18</v>
      </c>
      <c r="D62" s="146"/>
      <c r="E62" s="190">
        <v>0</v>
      </c>
      <c r="F62" s="190">
        <v>0</v>
      </c>
      <c r="G62" s="190">
        <v>0</v>
      </c>
      <c r="H62" s="151"/>
      <c r="I62" s="216">
        <f>IF(E62=0,0,1)</f>
        <v>0</v>
      </c>
      <c r="J62" s="216">
        <f>IF(F62=0,0,1)</f>
        <v>0</v>
      </c>
      <c r="K62" s="216">
        <f>IF(G62=0,0,1)</f>
        <v>0</v>
      </c>
    </row>
    <row r="63" spans="1:11">
      <c r="A63" s="447"/>
      <c r="B63" s="148" t="s">
        <v>19</v>
      </c>
      <c r="C63" s="152" t="s">
        <v>200</v>
      </c>
      <c r="D63" s="146"/>
      <c r="E63" s="153">
        <f>E20*E62</f>
        <v>0</v>
      </c>
      <c r="F63" s="153">
        <f t="shared" ref="F63:G63" si="24">F20*F62</f>
        <v>0</v>
      </c>
      <c r="G63" s="153">
        <f t="shared" si="24"/>
        <v>0</v>
      </c>
      <c r="I63" s="217">
        <f>ABS(E62)</f>
        <v>0</v>
      </c>
      <c r="J63" s="217">
        <f>ABS(F62)</f>
        <v>0</v>
      </c>
      <c r="K63" s="217">
        <f>ABS(G62)</f>
        <v>0</v>
      </c>
    </row>
    <row r="64" spans="1:11">
      <c r="A64" s="448"/>
      <c r="B64" s="148" t="s">
        <v>201</v>
      </c>
      <c r="C64" s="152" t="s">
        <v>200</v>
      </c>
      <c r="D64" s="146"/>
      <c r="E64" s="153">
        <f t="shared" ref="E64" si="25">E63+E60</f>
        <v>13255799.118665408</v>
      </c>
      <c r="F64" s="153">
        <f t="shared" ref="F64" si="26">F63+F60</f>
        <v>13245821.268754937</v>
      </c>
      <c r="G64" s="153">
        <f t="shared" ref="G64" si="27">G63+G60</f>
        <v>12529234.068302386</v>
      </c>
      <c r="I64" s="217">
        <f>IF(E62=0,100%,ABS(E62))</f>
        <v>1</v>
      </c>
      <c r="J64" s="217">
        <f>IF(F62=0,100%,ABS(F62))</f>
        <v>1</v>
      </c>
      <c r="K64" s="217">
        <f>IF(G62=0,100%,ABS(G62))</f>
        <v>1</v>
      </c>
    </row>
    <row r="65" spans="1:11" s="158" customFormat="1">
      <c r="A65" s="145" t="s">
        <v>25</v>
      </c>
      <c r="B65" s="154" t="s">
        <v>26</v>
      </c>
      <c r="C65" s="145" t="s">
        <v>200</v>
      </c>
      <c r="D65" s="145"/>
      <c r="E65" s="156">
        <f>E3+E7+E11+E15+E19+E23+E27+E31+E35+E39+E43+E47+E51+E55+E59+E63</f>
        <v>13255799.118665408</v>
      </c>
      <c r="F65" s="156">
        <f t="shared" ref="F65:G65" si="28">F3+F7+F11+F15+F19+F23+F27+F31+F35+F39+F43+F47+F51+F55+F59+F63</f>
        <v>13245821.268754937</v>
      </c>
      <c r="G65" s="156">
        <f t="shared" si="28"/>
        <v>12529234.068302386</v>
      </c>
      <c r="H65" s="157">
        <f>ROUND(E66,-6)</f>
        <v>13000000</v>
      </c>
      <c r="I65" s="215"/>
      <c r="J65" s="215"/>
      <c r="K65" s="215"/>
    </row>
    <row r="66" spans="1:11">
      <c r="A66" s="152" t="s">
        <v>27</v>
      </c>
      <c r="B66" s="148" t="s">
        <v>43</v>
      </c>
      <c r="C66" s="152" t="s">
        <v>28</v>
      </c>
      <c r="D66" s="152"/>
      <c r="E66" s="452">
        <f>ROUND(AVERAGE(E65:G65),0)</f>
        <v>13010285</v>
      </c>
      <c r="F66" s="452"/>
      <c r="G66" s="452"/>
      <c r="H66" s="159">
        <f>AVERAGE(E65:G65)</f>
        <v>13010284.818574244</v>
      </c>
      <c r="I66" s="218"/>
      <c r="J66" s="218"/>
      <c r="K66" s="218"/>
    </row>
    <row r="67" spans="1:11" ht="15" customHeight="1">
      <c r="A67" s="152" t="s">
        <v>29</v>
      </c>
      <c r="B67" s="148" t="s">
        <v>44</v>
      </c>
      <c r="C67" s="146" t="s">
        <v>18</v>
      </c>
      <c r="D67" s="152"/>
      <c r="E67" s="160">
        <f>(E65-$E$66)/$E$66</f>
        <v>1.8870771752149039E-2</v>
      </c>
      <c r="F67" s="160">
        <f>(F65-$E$66)/$E$66</f>
        <v>1.8103851587796635E-2</v>
      </c>
      <c r="G67" s="160">
        <f>(G65-$E$66)/$E$66</f>
        <v>-3.6974665174330498E-2</v>
      </c>
      <c r="I67" s="215"/>
      <c r="J67" s="215"/>
      <c r="K67" s="215"/>
    </row>
    <row r="68" spans="1:11" s="158" customFormat="1" ht="42">
      <c r="A68" s="145" t="s">
        <v>30</v>
      </c>
      <c r="B68" s="161" t="s">
        <v>31</v>
      </c>
      <c r="C68" s="155"/>
      <c r="D68" s="155"/>
      <c r="E68" s="156"/>
      <c r="F68" s="156"/>
      <c r="G68" s="156"/>
      <c r="I68" s="215"/>
      <c r="J68" s="215"/>
      <c r="K68" s="215"/>
    </row>
    <row r="69" spans="1:11" ht="28">
      <c r="A69" s="152" t="s">
        <v>32</v>
      </c>
      <c r="B69" s="148" t="s">
        <v>33</v>
      </c>
      <c r="C69" s="152" t="s">
        <v>28</v>
      </c>
      <c r="D69" s="152"/>
      <c r="E69" s="156">
        <f>ABS(E7)+ABS(E11)+ABS(E15)+ABS(E19)+ABS(E23)+ABS(E27)+ABS(E31)+ABS(E35)+ABS(E39)+ABS(E43)+ABS(E47)+ABS(E51)+ABS(E55)+ABS(E59)+ABS(E63)</f>
        <v>2410145.2943028016</v>
      </c>
      <c r="F69" s="156">
        <f t="shared" ref="F69:G69" si="29">ABS(F7)+ABS(F11)+ABS(F15)+ABS(F19)+ABS(F23)+ABS(F27)+ABS(F31)+ABS(F35)+ABS(F39)+ABS(F43)+ABS(F47)+ABS(F51)+ABS(F55)+ABS(F59)+ABS(F63)</f>
        <v>2408331.1397736249</v>
      </c>
      <c r="G69" s="156">
        <f t="shared" si="29"/>
        <v>659433.37201591511</v>
      </c>
      <c r="I69" s="218"/>
      <c r="J69" s="218"/>
      <c r="K69" s="218"/>
    </row>
    <row r="70" spans="1:11" ht="28">
      <c r="A70" s="152" t="s">
        <v>34</v>
      </c>
      <c r="B70" s="148" t="s">
        <v>35</v>
      </c>
      <c r="C70" s="146" t="s">
        <v>36</v>
      </c>
      <c r="D70" s="146"/>
      <c r="E70" s="263">
        <f>I71</f>
        <v>2</v>
      </c>
      <c r="F70" s="263">
        <f t="shared" ref="F70:G70" si="30">J71</f>
        <v>2</v>
      </c>
      <c r="G70" s="263">
        <f t="shared" si="30"/>
        <v>1</v>
      </c>
      <c r="I70" s="215"/>
      <c r="J70" s="215"/>
      <c r="K70" s="215"/>
    </row>
    <row r="71" spans="1:11">
      <c r="A71" s="152" t="s">
        <v>37</v>
      </c>
      <c r="B71" s="148" t="s">
        <v>38</v>
      </c>
      <c r="C71" s="146" t="s">
        <v>18</v>
      </c>
      <c r="D71" s="146"/>
      <c r="E71" s="239" t="str">
        <f>TEXT(E73,"#0%")&amp;" - "&amp;TEXT(E74,"#0%")</f>
        <v>5% - 15%</v>
      </c>
      <c r="F71" s="239" t="str">
        <f>TEXT(F73,"#0%")&amp;" - "&amp;TEXT(F74,"#0%")</f>
        <v>5% - 15%</v>
      </c>
      <c r="G71" s="239" t="str">
        <f>TEXT(G73,"#0%")&amp;" - "&amp;TEXT(G74,"#0%")</f>
        <v>5% - 5%</v>
      </c>
      <c r="H71" s="162"/>
      <c r="I71" s="219">
        <f>I6+I10+I14+I18+I22+I26+I30+I34+I42+I46+I50+I58+I62</f>
        <v>2</v>
      </c>
      <c r="J71" s="219">
        <f t="shared" ref="J71:K71" si="31">J6+J10+J14+J18+J22+J26+J30+J34+J42+J46+J50+J58+J62</f>
        <v>2</v>
      </c>
      <c r="K71" s="219">
        <f t="shared" si="31"/>
        <v>1</v>
      </c>
    </row>
    <row r="72" spans="1:11" ht="28">
      <c r="A72" s="152" t="s">
        <v>39</v>
      </c>
      <c r="B72" s="148" t="s">
        <v>40</v>
      </c>
      <c r="C72" s="152" t="s">
        <v>28</v>
      </c>
      <c r="D72" s="152"/>
      <c r="E72" s="163">
        <f>ABS(E7+E11+E15+E19+E23+E27+E31+E35+E39+E43+E47+E51+E55+E59+E63)</f>
        <v>1205072.6471514006</v>
      </c>
      <c r="F72" s="163">
        <f t="shared" ref="F72:G72" si="32">ABS(F7+F11+F15+F19+F23+F27+F31+F35+F39+F43+F47+F51+F55+F59+F63)</f>
        <v>1204165.5698868122</v>
      </c>
      <c r="G72" s="163">
        <f t="shared" si="32"/>
        <v>659433.37201591511</v>
      </c>
      <c r="I72" s="220">
        <f>MIN(I8,I12,I16,I20,I24,I28,I32,I36,I40,I44,I48,I52,I56,I60,I64)</f>
        <v>0.05</v>
      </c>
      <c r="J72" s="220">
        <f t="shared" ref="J72:K72" si="33">MIN(J8,J12,J16,J20,J24,J28,J32,J36,J40,J44,J48,J52,J56,J60,J64)</f>
        <v>0.05</v>
      </c>
      <c r="K72" s="220">
        <f t="shared" si="33"/>
        <v>0.05</v>
      </c>
    </row>
    <row r="73" spans="1:11">
      <c r="A73" s="240"/>
      <c r="B73" s="240"/>
      <c r="C73" s="240"/>
      <c r="D73" s="240" t="s">
        <v>251</v>
      </c>
      <c r="E73" s="271">
        <f>I72</f>
        <v>0.05</v>
      </c>
      <c r="F73" s="271">
        <f t="shared" ref="F73:G73" si="34">J72</f>
        <v>0.05</v>
      </c>
      <c r="G73" s="271">
        <f t="shared" si="34"/>
        <v>0.05</v>
      </c>
      <c r="H73" s="240"/>
      <c r="I73" s="220">
        <f>MAX(I7,I11,I15,I19,I23,I31,I35,I39,I43,I47,I51,I55,I59,I63)</f>
        <v>0.15</v>
      </c>
      <c r="J73" s="220">
        <f>MAX(J7,J11,J15,J19,J23,J31,J35,J39,J43,J47,J51,J55,J59,J63)</f>
        <v>0.15</v>
      </c>
      <c r="K73" s="220">
        <f>MAX(K7,K11,K15,K19,K23,K31,K35,K39,K43,K47,K51,K55,K59,K63)</f>
        <v>0.05</v>
      </c>
    </row>
    <row r="74" spans="1:11">
      <c r="A74" s="240"/>
      <c r="B74" s="240"/>
      <c r="C74" s="240"/>
      <c r="D74" s="240" t="s">
        <v>252</v>
      </c>
      <c r="E74" s="271">
        <f>I73</f>
        <v>0.15</v>
      </c>
      <c r="F74" s="271">
        <f>J73</f>
        <v>0.15</v>
      </c>
      <c r="G74" s="271">
        <f>K73</f>
        <v>0.05</v>
      </c>
      <c r="H74" s="240"/>
      <c r="I74" s="240"/>
      <c r="J74" s="240"/>
      <c r="K74" s="240"/>
    </row>
    <row r="76" spans="1:11">
      <c r="E76" s="165"/>
    </row>
    <row r="77" spans="1:11">
      <c r="E77" s="165"/>
      <c r="F77" s="164"/>
    </row>
    <row r="78" spans="1:11">
      <c r="E78" s="165"/>
      <c r="F78" s="164"/>
    </row>
    <row r="79" spans="1:11" ht="45">
      <c r="C79" s="313" t="s">
        <v>100</v>
      </c>
      <c r="D79" s="313" t="s">
        <v>117</v>
      </c>
      <c r="E79" s="313" t="s">
        <v>238</v>
      </c>
      <c r="F79" s="313" t="s">
        <v>239</v>
      </c>
      <c r="G79" s="313" t="s">
        <v>240</v>
      </c>
    </row>
    <row r="80" spans="1:11" ht="15.5">
      <c r="C80" s="314">
        <v>1</v>
      </c>
      <c r="D80" s="315" t="s">
        <v>1</v>
      </c>
      <c r="E80" s="316">
        <f>E65</f>
        <v>13255799.118665408</v>
      </c>
      <c r="F80" s="317">
        <v>0.3</v>
      </c>
      <c r="G80" s="316">
        <f>E80*F80</f>
        <v>3976739.7355996221</v>
      </c>
    </row>
    <row r="81" spans="3:8" ht="15.5">
      <c r="C81" s="314">
        <v>2</v>
      </c>
      <c r="D81" s="315" t="s">
        <v>2</v>
      </c>
      <c r="E81" s="316">
        <f>F65</f>
        <v>13245821.268754937</v>
      </c>
      <c r="F81" s="317">
        <v>0.4</v>
      </c>
      <c r="G81" s="316">
        <f t="shared" ref="G81:G82" si="35">E81*F81</f>
        <v>5298328.5075019747</v>
      </c>
      <c r="H81" s="267">
        <v>4500000</v>
      </c>
    </row>
    <row r="82" spans="3:8" ht="15.5">
      <c r="C82" s="314">
        <v>3</v>
      </c>
      <c r="D82" s="315" t="s">
        <v>3</v>
      </c>
      <c r="E82" s="316">
        <f>G65</f>
        <v>12529234.068302386</v>
      </c>
      <c r="F82" s="317">
        <v>0.3</v>
      </c>
      <c r="G82" s="316">
        <f t="shared" si="35"/>
        <v>3758770.2204907155</v>
      </c>
      <c r="H82" s="267">
        <f>H81/1.08</f>
        <v>4166666.6666666665</v>
      </c>
    </row>
    <row r="83" spans="3:8" ht="15.5">
      <c r="C83" s="453" t="s">
        <v>299</v>
      </c>
      <c r="D83" s="453"/>
      <c r="E83" s="453"/>
      <c r="F83" s="453"/>
      <c r="G83" s="318">
        <f>SUM(G80:G82)</f>
        <v>13033838.463592313</v>
      </c>
      <c r="H83" s="267">
        <f>H82*0.08</f>
        <v>333333.33333333331</v>
      </c>
    </row>
    <row r="84" spans="3:8" ht="15">
      <c r="C84" s="453" t="s">
        <v>247</v>
      </c>
      <c r="D84" s="453"/>
      <c r="E84" s="453"/>
      <c r="F84" s="453"/>
      <c r="G84" s="318">
        <f>ROUND(G83,-6)</f>
        <v>13000000</v>
      </c>
    </row>
    <row r="87" spans="3:8">
      <c r="F87" s="162">
        <f>F80+F81+F82</f>
        <v>1</v>
      </c>
    </row>
  </sheetData>
  <autoFilter ref="A1:G73" xr:uid="{00000000-0009-0000-0000-000006000000}"/>
  <mergeCells count="18">
    <mergeCell ref="E66:G66"/>
    <mergeCell ref="C83:F83"/>
    <mergeCell ref="C84:F84"/>
    <mergeCell ref="A5:A8"/>
    <mergeCell ref="A57:A60"/>
    <mergeCell ref="A61:A64"/>
    <mergeCell ref="A9:A12"/>
    <mergeCell ref="A21:A24"/>
    <mergeCell ref="A25:A28"/>
    <mergeCell ref="A29:A32"/>
    <mergeCell ref="A49:A52"/>
    <mergeCell ref="A13:A16"/>
    <mergeCell ref="A37:A40"/>
    <mergeCell ref="A41:A44"/>
    <mergeCell ref="A53:A56"/>
    <mergeCell ref="A33:A36"/>
    <mergeCell ref="A17:A20"/>
    <mergeCell ref="A45:A4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3E40-79DD-410F-ADDC-5C1AC0F7B6E4}">
  <dimension ref="A1:K86"/>
  <sheetViews>
    <sheetView zoomScale="85" zoomScaleNormal="85" workbookViewId="0">
      <pane ySplit="1" topLeftCell="A43" activePane="bottomLeft" state="frozen"/>
      <selection activeCell="D20" sqref="D20:F20"/>
      <selection pane="bottomLeft" activeCell="F80" sqref="F80"/>
    </sheetView>
  </sheetViews>
  <sheetFormatPr defaultRowHeight="14"/>
  <cols>
    <col min="1" max="1" width="6.08203125" style="142" customWidth="1"/>
    <col min="2" max="2" width="15.83203125" style="142" customWidth="1"/>
    <col min="3" max="3" width="7.83203125" style="142" customWidth="1"/>
    <col min="4" max="7" width="18.58203125" style="142" customWidth="1"/>
    <col min="8" max="8" width="11.33203125" style="142" customWidth="1"/>
    <col min="9" max="244" width="8.58203125" style="142"/>
    <col min="245" max="245" width="4.08203125" style="142" customWidth="1"/>
    <col min="246" max="246" width="19.08203125" style="142" customWidth="1"/>
    <col min="247" max="247" width="6" style="142" customWidth="1"/>
    <col min="248" max="248" width="8.33203125" style="142" customWidth="1"/>
    <col min="249" max="249" width="10.83203125" style="142" customWidth="1"/>
    <col min="250" max="250" width="11" style="142" customWidth="1"/>
    <col min="251" max="251" width="10.83203125" style="142" customWidth="1"/>
    <col min="252" max="252" width="8.203125E-2" style="142" customWidth="1"/>
    <col min="253" max="500" width="8.58203125" style="142"/>
    <col min="501" max="501" width="4.08203125" style="142" customWidth="1"/>
    <col min="502" max="502" width="19.08203125" style="142" customWidth="1"/>
    <col min="503" max="503" width="6" style="142" customWidth="1"/>
    <col min="504" max="504" width="8.33203125" style="142" customWidth="1"/>
    <col min="505" max="505" width="10.83203125" style="142" customWidth="1"/>
    <col min="506" max="506" width="11" style="142" customWidth="1"/>
    <col min="507" max="507" width="10.83203125" style="142" customWidth="1"/>
    <col min="508" max="508" width="8.203125E-2" style="142" customWidth="1"/>
    <col min="509" max="756" width="8.58203125" style="142"/>
    <col min="757" max="757" width="4.08203125" style="142" customWidth="1"/>
    <col min="758" max="758" width="19.08203125" style="142" customWidth="1"/>
    <col min="759" max="759" width="6" style="142" customWidth="1"/>
    <col min="760" max="760" width="8.33203125" style="142" customWidth="1"/>
    <col min="761" max="761" width="10.83203125" style="142" customWidth="1"/>
    <col min="762" max="762" width="11" style="142" customWidth="1"/>
    <col min="763" max="763" width="10.83203125" style="142" customWidth="1"/>
    <col min="764" max="764" width="8.203125E-2" style="142" customWidth="1"/>
    <col min="765" max="1012" width="8.58203125" style="142"/>
    <col min="1013" max="1013" width="4.08203125" style="142" customWidth="1"/>
    <col min="1014" max="1014" width="19.08203125" style="142" customWidth="1"/>
    <col min="1015" max="1015" width="6" style="142" customWidth="1"/>
    <col min="1016" max="1016" width="8.33203125" style="142" customWidth="1"/>
    <col min="1017" max="1017" width="10.83203125" style="142" customWidth="1"/>
    <col min="1018" max="1018" width="11" style="142" customWidth="1"/>
    <col min="1019" max="1019" width="10.83203125" style="142" customWidth="1"/>
    <col min="1020" max="1020" width="8.203125E-2" style="142" customWidth="1"/>
    <col min="1021" max="1268" width="8.58203125" style="142"/>
    <col min="1269" max="1269" width="4.08203125" style="142" customWidth="1"/>
    <col min="1270" max="1270" width="19.08203125" style="142" customWidth="1"/>
    <col min="1271" max="1271" width="6" style="142" customWidth="1"/>
    <col min="1272" max="1272" width="8.33203125" style="142" customWidth="1"/>
    <col min="1273" max="1273" width="10.83203125" style="142" customWidth="1"/>
    <col min="1274" max="1274" width="11" style="142" customWidth="1"/>
    <col min="1275" max="1275" width="10.83203125" style="142" customWidth="1"/>
    <col min="1276" max="1276" width="8.203125E-2" style="142" customWidth="1"/>
    <col min="1277" max="1524" width="8.58203125" style="142"/>
    <col min="1525" max="1525" width="4.08203125" style="142" customWidth="1"/>
    <col min="1526" max="1526" width="19.08203125" style="142" customWidth="1"/>
    <col min="1527" max="1527" width="6" style="142" customWidth="1"/>
    <col min="1528" max="1528" width="8.33203125" style="142" customWidth="1"/>
    <col min="1529" max="1529" width="10.83203125" style="142" customWidth="1"/>
    <col min="1530" max="1530" width="11" style="142" customWidth="1"/>
    <col min="1531" max="1531" width="10.83203125" style="142" customWidth="1"/>
    <col min="1532" max="1532" width="8.203125E-2" style="142" customWidth="1"/>
    <col min="1533" max="1780" width="8.58203125" style="142"/>
    <col min="1781" max="1781" width="4.08203125" style="142" customWidth="1"/>
    <col min="1782" max="1782" width="19.08203125" style="142" customWidth="1"/>
    <col min="1783" max="1783" width="6" style="142" customWidth="1"/>
    <col min="1784" max="1784" width="8.33203125" style="142" customWidth="1"/>
    <col min="1785" max="1785" width="10.83203125" style="142" customWidth="1"/>
    <col min="1786" max="1786" width="11" style="142" customWidth="1"/>
    <col min="1787" max="1787" width="10.83203125" style="142" customWidth="1"/>
    <col min="1788" max="1788" width="8.203125E-2" style="142" customWidth="1"/>
    <col min="1789" max="2036" width="8.58203125" style="142"/>
    <col min="2037" max="2037" width="4.08203125" style="142" customWidth="1"/>
    <col min="2038" max="2038" width="19.08203125" style="142" customWidth="1"/>
    <col min="2039" max="2039" width="6" style="142" customWidth="1"/>
    <col min="2040" max="2040" width="8.33203125" style="142" customWidth="1"/>
    <col min="2041" max="2041" width="10.83203125" style="142" customWidth="1"/>
    <col min="2042" max="2042" width="11" style="142" customWidth="1"/>
    <col min="2043" max="2043" width="10.83203125" style="142" customWidth="1"/>
    <col min="2044" max="2044" width="8.203125E-2" style="142" customWidth="1"/>
    <col min="2045" max="2292" width="8.58203125" style="142"/>
    <col min="2293" max="2293" width="4.08203125" style="142" customWidth="1"/>
    <col min="2294" max="2294" width="19.08203125" style="142" customWidth="1"/>
    <col min="2295" max="2295" width="6" style="142" customWidth="1"/>
    <col min="2296" max="2296" width="8.33203125" style="142" customWidth="1"/>
    <col min="2297" max="2297" width="10.83203125" style="142" customWidth="1"/>
    <col min="2298" max="2298" width="11" style="142" customWidth="1"/>
    <col min="2299" max="2299" width="10.83203125" style="142" customWidth="1"/>
    <col min="2300" max="2300" width="8.203125E-2" style="142" customWidth="1"/>
    <col min="2301" max="2548" width="8.58203125" style="142"/>
    <col min="2549" max="2549" width="4.08203125" style="142" customWidth="1"/>
    <col min="2550" max="2550" width="19.08203125" style="142" customWidth="1"/>
    <col min="2551" max="2551" width="6" style="142" customWidth="1"/>
    <col min="2552" max="2552" width="8.33203125" style="142" customWidth="1"/>
    <col min="2553" max="2553" width="10.83203125" style="142" customWidth="1"/>
    <col min="2554" max="2554" width="11" style="142" customWidth="1"/>
    <col min="2555" max="2555" width="10.83203125" style="142" customWidth="1"/>
    <col min="2556" max="2556" width="8.203125E-2" style="142" customWidth="1"/>
    <col min="2557" max="2804" width="8.58203125" style="142"/>
    <col min="2805" max="2805" width="4.08203125" style="142" customWidth="1"/>
    <col min="2806" max="2806" width="19.08203125" style="142" customWidth="1"/>
    <col min="2807" max="2807" width="6" style="142" customWidth="1"/>
    <col min="2808" max="2808" width="8.33203125" style="142" customWidth="1"/>
    <col min="2809" max="2809" width="10.83203125" style="142" customWidth="1"/>
    <col min="2810" max="2810" width="11" style="142" customWidth="1"/>
    <col min="2811" max="2811" width="10.83203125" style="142" customWidth="1"/>
    <col min="2812" max="2812" width="8.203125E-2" style="142" customWidth="1"/>
    <col min="2813" max="3060" width="8.58203125" style="142"/>
    <col min="3061" max="3061" width="4.08203125" style="142" customWidth="1"/>
    <col min="3062" max="3062" width="19.08203125" style="142" customWidth="1"/>
    <col min="3063" max="3063" width="6" style="142" customWidth="1"/>
    <col min="3064" max="3064" width="8.33203125" style="142" customWidth="1"/>
    <col min="3065" max="3065" width="10.83203125" style="142" customWidth="1"/>
    <col min="3066" max="3066" width="11" style="142" customWidth="1"/>
    <col min="3067" max="3067" width="10.83203125" style="142" customWidth="1"/>
    <col min="3068" max="3068" width="8.203125E-2" style="142" customWidth="1"/>
    <col min="3069" max="3316" width="8.58203125" style="142"/>
    <col min="3317" max="3317" width="4.08203125" style="142" customWidth="1"/>
    <col min="3318" max="3318" width="19.08203125" style="142" customWidth="1"/>
    <col min="3319" max="3319" width="6" style="142" customWidth="1"/>
    <col min="3320" max="3320" width="8.33203125" style="142" customWidth="1"/>
    <col min="3321" max="3321" width="10.83203125" style="142" customWidth="1"/>
    <col min="3322" max="3322" width="11" style="142" customWidth="1"/>
    <col min="3323" max="3323" width="10.83203125" style="142" customWidth="1"/>
    <col min="3324" max="3324" width="8.203125E-2" style="142" customWidth="1"/>
    <col min="3325" max="3572" width="8.58203125" style="142"/>
    <col min="3573" max="3573" width="4.08203125" style="142" customWidth="1"/>
    <col min="3574" max="3574" width="19.08203125" style="142" customWidth="1"/>
    <col min="3575" max="3575" width="6" style="142" customWidth="1"/>
    <col min="3576" max="3576" width="8.33203125" style="142" customWidth="1"/>
    <col min="3577" max="3577" width="10.83203125" style="142" customWidth="1"/>
    <col min="3578" max="3578" width="11" style="142" customWidth="1"/>
    <col min="3579" max="3579" width="10.83203125" style="142" customWidth="1"/>
    <col min="3580" max="3580" width="8.203125E-2" style="142" customWidth="1"/>
    <col min="3581" max="3828" width="8.58203125" style="142"/>
    <col min="3829" max="3829" width="4.08203125" style="142" customWidth="1"/>
    <col min="3830" max="3830" width="19.08203125" style="142" customWidth="1"/>
    <col min="3831" max="3831" width="6" style="142" customWidth="1"/>
    <col min="3832" max="3832" width="8.33203125" style="142" customWidth="1"/>
    <col min="3833" max="3833" width="10.83203125" style="142" customWidth="1"/>
    <col min="3834" max="3834" width="11" style="142" customWidth="1"/>
    <col min="3835" max="3835" width="10.83203125" style="142" customWidth="1"/>
    <col min="3836" max="3836" width="8.203125E-2" style="142" customWidth="1"/>
    <col min="3837" max="4084" width="8.58203125" style="142"/>
    <col min="4085" max="4085" width="4.08203125" style="142" customWidth="1"/>
    <col min="4086" max="4086" width="19.08203125" style="142" customWidth="1"/>
    <col min="4087" max="4087" width="6" style="142" customWidth="1"/>
    <col min="4088" max="4088" width="8.33203125" style="142" customWidth="1"/>
    <col min="4089" max="4089" width="10.83203125" style="142" customWidth="1"/>
    <col min="4090" max="4090" width="11" style="142" customWidth="1"/>
    <col min="4091" max="4091" width="10.83203125" style="142" customWidth="1"/>
    <col min="4092" max="4092" width="8.203125E-2" style="142" customWidth="1"/>
    <col min="4093" max="4340" width="8.58203125" style="142"/>
    <col min="4341" max="4341" width="4.08203125" style="142" customWidth="1"/>
    <col min="4342" max="4342" width="19.08203125" style="142" customWidth="1"/>
    <col min="4343" max="4343" width="6" style="142" customWidth="1"/>
    <col min="4344" max="4344" width="8.33203125" style="142" customWidth="1"/>
    <col min="4345" max="4345" width="10.83203125" style="142" customWidth="1"/>
    <col min="4346" max="4346" width="11" style="142" customWidth="1"/>
    <col min="4347" max="4347" width="10.83203125" style="142" customWidth="1"/>
    <col min="4348" max="4348" width="8.203125E-2" style="142" customWidth="1"/>
    <col min="4349" max="4596" width="8.58203125" style="142"/>
    <col min="4597" max="4597" width="4.08203125" style="142" customWidth="1"/>
    <col min="4598" max="4598" width="19.08203125" style="142" customWidth="1"/>
    <col min="4599" max="4599" width="6" style="142" customWidth="1"/>
    <col min="4600" max="4600" width="8.33203125" style="142" customWidth="1"/>
    <col min="4601" max="4601" width="10.83203125" style="142" customWidth="1"/>
    <col min="4602" max="4602" width="11" style="142" customWidth="1"/>
    <col min="4603" max="4603" width="10.83203125" style="142" customWidth="1"/>
    <col min="4604" max="4604" width="8.203125E-2" style="142" customWidth="1"/>
    <col min="4605" max="4852" width="8.58203125" style="142"/>
    <col min="4853" max="4853" width="4.08203125" style="142" customWidth="1"/>
    <col min="4854" max="4854" width="19.08203125" style="142" customWidth="1"/>
    <col min="4855" max="4855" width="6" style="142" customWidth="1"/>
    <col min="4856" max="4856" width="8.33203125" style="142" customWidth="1"/>
    <col min="4857" max="4857" width="10.83203125" style="142" customWidth="1"/>
    <col min="4858" max="4858" width="11" style="142" customWidth="1"/>
    <col min="4859" max="4859" width="10.83203125" style="142" customWidth="1"/>
    <col min="4860" max="4860" width="8.203125E-2" style="142" customWidth="1"/>
    <col min="4861" max="5108" width="8.58203125" style="142"/>
    <col min="5109" max="5109" width="4.08203125" style="142" customWidth="1"/>
    <col min="5110" max="5110" width="19.08203125" style="142" customWidth="1"/>
    <col min="5111" max="5111" width="6" style="142" customWidth="1"/>
    <col min="5112" max="5112" width="8.33203125" style="142" customWidth="1"/>
    <col min="5113" max="5113" width="10.83203125" style="142" customWidth="1"/>
    <col min="5114" max="5114" width="11" style="142" customWidth="1"/>
    <col min="5115" max="5115" width="10.83203125" style="142" customWidth="1"/>
    <col min="5116" max="5116" width="8.203125E-2" style="142" customWidth="1"/>
    <col min="5117" max="5364" width="8.58203125" style="142"/>
    <col min="5365" max="5365" width="4.08203125" style="142" customWidth="1"/>
    <col min="5366" max="5366" width="19.08203125" style="142" customWidth="1"/>
    <col min="5367" max="5367" width="6" style="142" customWidth="1"/>
    <col min="5368" max="5368" width="8.33203125" style="142" customWidth="1"/>
    <col min="5369" max="5369" width="10.83203125" style="142" customWidth="1"/>
    <col min="5370" max="5370" width="11" style="142" customWidth="1"/>
    <col min="5371" max="5371" width="10.83203125" style="142" customWidth="1"/>
    <col min="5372" max="5372" width="8.203125E-2" style="142" customWidth="1"/>
    <col min="5373" max="5620" width="8.58203125" style="142"/>
    <col min="5621" max="5621" width="4.08203125" style="142" customWidth="1"/>
    <col min="5622" max="5622" width="19.08203125" style="142" customWidth="1"/>
    <col min="5623" max="5623" width="6" style="142" customWidth="1"/>
    <col min="5624" max="5624" width="8.33203125" style="142" customWidth="1"/>
    <col min="5625" max="5625" width="10.83203125" style="142" customWidth="1"/>
    <col min="5626" max="5626" width="11" style="142" customWidth="1"/>
    <col min="5627" max="5627" width="10.83203125" style="142" customWidth="1"/>
    <col min="5628" max="5628" width="8.203125E-2" style="142" customWidth="1"/>
    <col min="5629" max="5876" width="8.58203125" style="142"/>
    <col min="5877" max="5877" width="4.08203125" style="142" customWidth="1"/>
    <col min="5878" max="5878" width="19.08203125" style="142" customWidth="1"/>
    <col min="5879" max="5879" width="6" style="142" customWidth="1"/>
    <col min="5880" max="5880" width="8.33203125" style="142" customWidth="1"/>
    <col min="5881" max="5881" width="10.83203125" style="142" customWidth="1"/>
    <col min="5882" max="5882" width="11" style="142" customWidth="1"/>
    <col min="5883" max="5883" width="10.83203125" style="142" customWidth="1"/>
    <col min="5884" max="5884" width="8.203125E-2" style="142" customWidth="1"/>
    <col min="5885" max="6132" width="8.58203125" style="142"/>
    <col min="6133" max="6133" width="4.08203125" style="142" customWidth="1"/>
    <col min="6134" max="6134" width="19.08203125" style="142" customWidth="1"/>
    <col min="6135" max="6135" width="6" style="142" customWidth="1"/>
    <col min="6136" max="6136" width="8.33203125" style="142" customWidth="1"/>
    <col min="6137" max="6137" width="10.83203125" style="142" customWidth="1"/>
    <col min="6138" max="6138" width="11" style="142" customWidth="1"/>
    <col min="6139" max="6139" width="10.83203125" style="142" customWidth="1"/>
    <col min="6140" max="6140" width="8.203125E-2" style="142" customWidth="1"/>
    <col min="6141" max="6388" width="8.58203125" style="142"/>
    <col min="6389" max="6389" width="4.08203125" style="142" customWidth="1"/>
    <col min="6390" max="6390" width="19.08203125" style="142" customWidth="1"/>
    <col min="6391" max="6391" width="6" style="142" customWidth="1"/>
    <col min="6392" max="6392" width="8.33203125" style="142" customWidth="1"/>
    <col min="6393" max="6393" width="10.83203125" style="142" customWidth="1"/>
    <col min="6394" max="6394" width="11" style="142" customWidth="1"/>
    <col min="6395" max="6395" width="10.83203125" style="142" customWidth="1"/>
    <col min="6396" max="6396" width="8.203125E-2" style="142" customWidth="1"/>
    <col min="6397" max="6644" width="8.58203125" style="142"/>
    <col min="6645" max="6645" width="4.08203125" style="142" customWidth="1"/>
    <col min="6646" max="6646" width="19.08203125" style="142" customWidth="1"/>
    <col min="6647" max="6647" width="6" style="142" customWidth="1"/>
    <col min="6648" max="6648" width="8.33203125" style="142" customWidth="1"/>
    <col min="6649" max="6649" width="10.83203125" style="142" customWidth="1"/>
    <col min="6650" max="6650" width="11" style="142" customWidth="1"/>
    <col min="6651" max="6651" width="10.83203125" style="142" customWidth="1"/>
    <col min="6652" max="6652" width="8.203125E-2" style="142" customWidth="1"/>
    <col min="6653" max="6900" width="8.58203125" style="142"/>
    <col min="6901" max="6901" width="4.08203125" style="142" customWidth="1"/>
    <col min="6902" max="6902" width="19.08203125" style="142" customWidth="1"/>
    <col min="6903" max="6903" width="6" style="142" customWidth="1"/>
    <col min="6904" max="6904" width="8.33203125" style="142" customWidth="1"/>
    <col min="6905" max="6905" width="10.83203125" style="142" customWidth="1"/>
    <col min="6906" max="6906" width="11" style="142" customWidth="1"/>
    <col min="6907" max="6907" width="10.83203125" style="142" customWidth="1"/>
    <col min="6908" max="6908" width="8.203125E-2" style="142" customWidth="1"/>
    <col min="6909" max="7156" width="8.58203125" style="142"/>
    <col min="7157" max="7157" width="4.08203125" style="142" customWidth="1"/>
    <col min="7158" max="7158" width="19.08203125" style="142" customWidth="1"/>
    <col min="7159" max="7159" width="6" style="142" customWidth="1"/>
    <col min="7160" max="7160" width="8.33203125" style="142" customWidth="1"/>
    <col min="7161" max="7161" width="10.83203125" style="142" customWidth="1"/>
    <col min="7162" max="7162" width="11" style="142" customWidth="1"/>
    <col min="7163" max="7163" width="10.83203125" style="142" customWidth="1"/>
    <col min="7164" max="7164" width="8.203125E-2" style="142" customWidth="1"/>
    <col min="7165" max="7412" width="8.58203125" style="142"/>
    <col min="7413" max="7413" width="4.08203125" style="142" customWidth="1"/>
    <col min="7414" max="7414" width="19.08203125" style="142" customWidth="1"/>
    <col min="7415" max="7415" width="6" style="142" customWidth="1"/>
    <col min="7416" max="7416" width="8.33203125" style="142" customWidth="1"/>
    <col min="7417" max="7417" width="10.83203125" style="142" customWidth="1"/>
    <col min="7418" max="7418" width="11" style="142" customWidth="1"/>
    <col min="7419" max="7419" width="10.83203125" style="142" customWidth="1"/>
    <col min="7420" max="7420" width="8.203125E-2" style="142" customWidth="1"/>
    <col min="7421" max="7668" width="8.58203125" style="142"/>
    <col min="7669" max="7669" width="4.08203125" style="142" customWidth="1"/>
    <col min="7670" max="7670" width="19.08203125" style="142" customWidth="1"/>
    <col min="7671" max="7671" width="6" style="142" customWidth="1"/>
    <col min="7672" max="7672" width="8.33203125" style="142" customWidth="1"/>
    <col min="7673" max="7673" width="10.83203125" style="142" customWidth="1"/>
    <col min="7674" max="7674" width="11" style="142" customWidth="1"/>
    <col min="7675" max="7675" width="10.83203125" style="142" customWidth="1"/>
    <col min="7676" max="7676" width="8.203125E-2" style="142" customWidth="1"/>
    <col min="7677" max="7924" width="8.58203125" style="142"/>
    <col min="7925" max="7925" width="4.08203125" style="142" customWidth="1"/>
    <col min="7926" max="7926" width="19.08203125" style="142" customWidth="1"/>
    <col min="7927" max="7927" width="6" style="142" customWidth="1"/>
    <col min="7928" max="7928" width="8.33203125" style="142" customWidth="1"/>
    <col min="7929" max="7929" width="10.83203125" style="142" customWidth="1"/>
    <col min="7930" max="7930" width="11" style="142" customWidth="1"/>
    <col min="7931" max="7931" width="10.83203125" style="142" customWidth="1"/>
    <col min="7932" max="7932" width="8.203125E-2" style="142" customWidth="1"/>
    <col min="7933" max="8180" width="8.58203125" style="142"/>
    <col min="8181" max="8181" width="4.08203125" style="142" customWidth="1"/>
    <col min="8182" max="8182" width="19.08203125" style="142" customWidth="1"/>
    <col min="8183" max="8183" width="6" style="142" customWidth="1"/>
    <col min="8184" max="8184" width="8.33203125" style="142" customWidth="1"/>
    <col min="8185" max="8185" width="10.83203125" style="142" customWidth="1"/>
    <col min="8186" max="8186" width="11" style="142" customWidth="1"/>
    <col min="8187" max="8187" width="10.83203125" style="142" customWidth="1"/>
    <col min="8188" max="8188" width="8.203125E-2" style="142" customWidth="1"/>
    <col min="8189" max="8436" width="8.58203125" style="142"/>
    <col min="8437" max="8437" width="4.08203125" style="142" customWidth="1"/>
    <col min="8438" max="8438" width="19.08203125" style="142" customWidth="1"/>
    <col min="8439" max="8439" width="6" style="142" customWidth="1"/>
    <col min="8440" max="8440" width="8.33203125" style="142" customWidth="1"/>
    <col min="8441" max="8441" width="10.83203125" style="142" customWidth="1"/>
    <col min="8442" max="8442" width="11" style="142" customWidth="1"/>
    <col min="8443" max="8443" width="10.83203125" style="142" customWidth="1"/>
    <col min="8444" max="8444" width="8.203125E-2" style="142" customWidth="1"/>
    <col min="8445" max="8692" width="8.58203125" style="142"/>
    <col min="8693" max="8693" width="4.08203125" style="142" customWidth="1"/>
    <col min="8694" max="8694" width="19.08203125" style="142" customWidth="1"/>
    <col min="8695" max="8695" width="6" style="142" customWidth="1"/>
    <col min="8696" max="8696" width="8.33203125" style="142" customWidth="1"/>
    <col min="8697" max="8697" width="10.83203125" style="142" customWidth="1"/>
    <col min="8698" max="8698" width="11" style="142" customWidth="1"/>
    <col min="8699" max="8699" width="10.83203125" style="142" customWidth="1"/>
    <col min="8700" max="8700" width="8.203125E-2" style="142" customWidth="1"/>
    <col min="8701" max="8948" width="8.58203125" style="142"/>
    <col min="8949" max="8949" width="4.08203125" style="142" customWidth="1"/>
    <col min="8950" max="8950" width="19.08203125" style="142" customWidth="1"/>
    <col min="8951" max="8951" width="6" style="142" customWidth="1"/>
    <col min="8952" max="8952" width="8.33203125" style="142" customWidth="1"/>
    <col min="8953" max="8953" width="10.83203125" style="142" customWidth="1"/>
    <col min="8954" max="8954" width="11" style="142" customWidth="1"/>
    <col min="8955" max="8955" width="10.83203125" style="142" customWidth="1"/>
    <col min="8956" max="8956" width="8.203125E-2" style="142" customWidth="1"/>
    <col min="8957" max="9204" width="8.58203125" style="142"/>
    <col min="9205" max="9205" width="4.08203125" style="142" customWidth="1"/>
    <col min="9206" max="9206" width="19.08203125" style="142" customWidth="1"/>
    <col min="9207" max="9207" width="6" style="142" customWidth="1"/>
    <col min="9208" max="9208" width="8.33203125" style="142" customWidth="1"/>
    <col min="9209" max="9209" width="10.83203125" style="142" customWidth="1"/>
    <col min="9210" max="9210" width="11" style="142" customWidth="1"/>
    <col min="9211" max="9211" width="10.83203125" style="142" customWidth="1"/>
    <col min="9212" max="9212" width="8.203125E-2" style="142" customWidth="1"/>
    <col min="9213" max="9460" width="8.58203125" style="142"/>
    <col min="9461" max="9461" width="4.08203125" style="142" customWidth="1"/>
    <col min="9462" max="9462" width="19.08203125" style="142" customWidth="1"/>
    <col min="9463" max="9463" width="6" style="142" customWidth="1"/>
    <col min="9464" max="9464" width="8.33203125" style="142" customWidth="1"/>
    <col min="9465" max="9465" width="10.83203125" style="142" customWidth="1"/>
    <col min="9466" max="9466" width="11" style="142" customWidth="1"/>
    <col min="9467" max="9467" width="10.83203125" style="142" customWidth="1"/>
    <col min="9468" max="9468" width="8.203125E-2" style="142" customWidth="1"/>
    <col min="9469" max="9716" width="8.58203125" style="142"/>
    <col min="9717" max="9717" width="4.08203125" style="142" customWidth="1"/>
    <col min="9718" max="9718" width="19.08203125" style="142" customWidth="1"/>
    <col min="9719" max="9719" width="6" style="142" customWidth="1"/>
    <col min="9720" max="9720" width="8.33203125" style="142" customWidth="1"/>
    <col min="9721" max="9721" width="10.83203125" style="142" customWidth="1"/>
    <col min="9722" max="9722" width="11" style="142" customWidth="1"/>
    <col min="9723" max="9723" width="10.83203125" style="142" customWidth="1"/>
    <col min="9724" max="9724" width="8.203125E-2" style="142" customWidth="1"/>
    <col min="9725" max="9972" width="8.58203125" style="142"/>
    <col min="9973" max="9973" width="4.08203125" style="142" customWidth="1"/>
    <col min="9974" max="9974" width="19.08203125" style="142" customWidth="1"/>
    <col min="9975" max="9975" width="6" style="142" customWidth="1"/>
    <col min="9976" max="9976" width="8.33203125" style="142" customWidth="1"/>
    <col min="9977" max="9977" width="10.83203125" style="142" customWidth="1"/>
    <col min="9978" max="9978" width="11" style="142" customWidth="1"/>
    <col min="9979" max="9979" width="10.83203125" style="142" customWidth="1"/>
    <col min="9980" max="9980" width="8.203125E-2" style="142" customWidth="1"/>
    <col min="9981" max="10228" width="8.58203125" style="142"/>
    <col min="10229" max="10229" width="4.08203125" style="142" customWidth="1"/>
    <col min="10230" max="10230" width="19.08203125" style="142" customWidth="1"/>
    <col min="10231" max="10231" width="6" style="142" customWidth="1"/>
    <col min="10232" max="10232" width="8.33203125" style="142" customWidth="1"/>
    <col min="10233" max="10233" width="10.83203125" style="142" customWidth="1"/>
    <col min="10234" max="10234" width="11" style="142" customWidth="1"/>
    <col min="10235" max="10235" width="10.83203125" style="142" customWidth="1"/>
    <col min="10236" max="10236" width="8.203125E-2" style="142" customWidth="1"/>
    <col min="10237" max="10484" width="8.58203125" style="142"/>
    <col min="10485" max="10485" width="4.08203125" style="142" customWidth="1"/>
    <col min="10486" max="10486" width="19.08203125" style="142" customWidth="1"/>
    <col min="10487" max="10487" width="6" style="142" customWidth="1"/>
    <col min="10488" max="10488" width="8.33203125" style="142" customWidth="1"/>
    <col min="10489" max="10489" width="10.83203125" style="142" customWidth="1"/>
    <col min="10490" max="10490" width="11" style="142" customWidth="1"/>
    <col min="10491" max="10491" width="10.83203125" style="142" customWidth="1"/>
    <col min="10492" max="10492" width="8.203125E-2" style="142" customWidth="1"/>
    <col min="10493" max="10740" width="8.58203125" style="142"/>
    <col min="10741" max="10741" width="4.08203125" style="142" customWidth="1"/>
    <col min="10742" max="10742" width="19.08203125" style="142" customWidth="1"/>
    <col min="10743" max="10743" width="6" style="142" customWidth="1"/>
    <col min="10744" max="10744" width="8.33203125" style="142" customWidth="1"/>
    <col min="10745" max="10745" width="10.83203125" style="142" customWidth="1"/>
    <col min="10746" max="10746" width="11" style="142" customWidth="1"/>
    <col min="10747" max="10747" width="10.83203125" style="142" customWidth="1"/>
    <col min="10748" max="10748" width="8.203125E-2" style="142" customWidth="1"/>
    <col min="10749" max="10996" width="8.58203125" style="142"/>
    <col min="10997" max="10997" width="4.08203125" style="142" customWidth="1"/>
    <col min="10998" max="10998" width="19.08203125" style="142" customWidth="1"/>
    <col min="10999" max="10999" width="6" style="142" customWidth="1"/>
    <col min="11000" max="11000" width="8.33203125" style="142" customWidth="1"/>
    <col min="11001" max="11001" width="10.83203125" style="142" customWidth="1"/>
    <col min="11002" max="11002" width="11" style="142" customWidth="1"/>
    <col min="11003" max="11003" width="10.83203125" style="142" customWidth="1"/>
    <col min="11004" max="11004" width="8.203125E-2" style="142" customWidth="1"/>
    <col min="11005" max="11252" width="8.58203125" style="142"/>
    <col min="11253" max="11253" width="4.08203125" style="142" customWidth="1"/>
    <col min="11254" max="11254" width="19.08203125" style="142" customWidth="1"/>
    <col min="11255" max="11255" width="6" style="142" customWidth="1"/>
    <col min="11256" max="11256" width="8.33203125" style="142" customWidth="1"/>
    <col min="11257" max="11257" width="10.83203125" style="142" customWidth="1"/>
    <col min="11258" max="11258" width="11" style="142" customWidth="1"/>
    <col min="11259" max="11259" width="10.83203125" style="142" customWidth="1"/>
    <col min="11260" max="11260" width="8.203125E-2" style="142" customWidth="1"/>
    <col min="11261" max="11508" width="8.58203125" style="142"/>
    <col min="11509" max="11509" width="4.08203125" style="142" customWidth="1"/>
    <col min="11510" max="11510" width="19.08203125" style="142" customWidth="1"/>
    <col min="11511" max="11511" width="6" style="142" customWidth="1"/>
    <col min="11512" max="11512" width="8.33203125" style="142" customWidth="1"/>
    <col min="11513" max="11513" width="10.83203125" style="142" customWidth="1"/>
    <col min="11514" max="11514" width="11" style="142" customWidth="1"/>
    <col min="11515" max="11515" width="10.83203125" style="142" customWidth="1"/>
    <col min="11516" max="11516" width="8.203125E-2" style="142" customWidth="1"/>
    <col min="11517" max="11764" width="8.58203125" style="142"/>
    <col min="11765" max="11765" width="4.08203125" style="142" customWidth="1"/>
    <col min="11766" max="11766" width="19.08203125" style="142" customWidth="1"/>
    <col min="11767" max="11767" width="6" style="142" customWidth="1"/>
    <col min="11768" max="11768" width="8.33203125" style="142" customWidth="1"/>
    <col min="11769" max="11769" width="10.83203125" style="142" customWidth="1"/>
    <col min="11770" max="11770" width="11" style="142" customWidth="1"/>
    <col min="11771" max="11771" width="10.83203125" style="142" customWidth="1"/>
    <col min="11772" max="11772" width="8.203125E-2" style="142" customWidth="1"/>
    <col min="11773" max="12020" width="8.58203125" style="142"/>
    <col min="12021" max="12021" width="4.08203125" style="142" customWidth="1"/>
    <col min="12022" max="12022" width="19.08203125" style="142" customWidth="1"/>
    <col min="12023" max="12023" width="6" style="142" customWidth="1"/>
    <col min="12024" max="12024" width="8.33203125" style="142" customWidth="1"/>
    <col min="12025" max="12025" width="10.83203125" style="142" customWidth="1"/>
    <col min="12026" max="12026" width="11" style="142" customWidth="1"/>
    <col min="12027" max="12027" width="10.83203125" style="142" customWidth="1"/>
    <col min="12028" max="12028" width="8.203125E-2" style="142" customWidth="1"/>
    <col min="12029" max="12276" width="8.58203125" style="142"/>
    <col min="12277" max="12277" width="4.08203125" style="142" customWidth="1"/>
    <col min="12278" max="12278" width="19.08203125" style="142" customWidth="1"/>
    <col min="12279" max="12279" width="6" style="142" customWidth="1"/>
    <col min="12280" max="12280" width="8.33203125" style="142" customWidth="1"/>
    <col min="12281" max="12281" width="10.83203125" style="142" customWidth="1"/>
    <col min="12282" max="12282" width="11" style="142" customWidth="1"/>
    <col min="12283" max="12283" width="10.83203125" style="142" customWidth="1"/>
    <col min="12284" max="12284" width="8.203125E-2" style="142" customWidth="1"/>
    <col min="12285" max="12532" width="8.58203125" style="142"/>
    <col min="12533" max="12533" width="4.08203125" style="142" customWidth="1"/>
    <col min="12534" max="12534" width="19.08203125" style="142" customWidth="1"/>
    <col min="12535" max="12535" width="6" style="142" customWidth="1"/>
    <col min="12536" max="12536" width="8.33203125" style="142" customWidth="1"/>
    <col min="12537" max="12537" width="10.83203125" style="142" customWidth="1"/>
    <col min="12538" max="12538" width="11" style="142" customWidth="1"/>
    <col min="12539" max="12539" width="10.83203125" style="142" customWidth="1"/>
    <col min="12540" max="12540" width="8.203125E-2" style="142" customWidth="1"/>
    <col min="12541" max="12788" width="8.58203125" style="142"/>
    <col min="12789" max="12789" width="4.08203125" style="142" customWidth="1"/>
    <col min="12790" max="12790" width="19.08203125" style="142" customWidth="1"/>
    <col min="12791" max="12791" width="6" style="142" customWidth="1"/>
    <col min="12792" max="12792" width="8.33203125" style="142" customWidth="1"/>
    <col min="12793" max="12793" width="10.83203125" style="142" customWidth="1"/>
    <col min="12794" max="12794" width="11" style="142" customWidth="1"/>
    <col min="12795" max="12795" width="10.83203125" style="142" customWidth="1"/>
    <col min="12796" max="12796" width="8.203125E-2" style="142" customWidth="1"/>
    <col min="12797" max="13044" width="8.58203125" style="142"/>
    <col min="13045" max="13045" width="4.08203125" style="142" customWidth="1"/>
    <col min="13046" max="13046" width="19.08203125" style="142" customWidth="1"/>
    <col min="13047" max="13047" width="6" style="142" customWidth="1"/>
    <col min="13048" max="13048" width="8.33203125" style="142" customWidth="1"/>
    <col min="13049" max="13049" width="10.83203125" style="142" customWidth="1"/>
    <col min="13050" max="13050" width="11" style="142" customWidth="1"/>
    <col min="13051" max="13051" width="10.83203125" style="142" customWidth="1"/>
    <col min="13052" max="13052" width="8.203125E-2" style="142" customWidth="1"/>
    <col min="13053" max="13300" width="8.58203125" style="142"/>
    <col min="13301" max="13301" width="4.08203125" style="142" customWidth="1"/>
    <col min="13302" max="13302" width="19.08203125" style="142" customWidth="1"/>
    <col min="13303" max="13303" width="6" style="142" customWidth="1"/>
    <col min="13304" max="13304" width="8.33203125" style="142" customWidth="1"/>
    <col min="13305" max="13305" width="10.83203125" style="142" customWidth="1"/>
    <col min="13306" max="13306" width="11" style="142" customWidth="1"/>
    <col min="13307" max="13307" width="10.83203125" style="142" customWidth="1"/>
    <col min="13308" max="13308" width="8.203125E-2" style="142" customWidth="1"/>
    <col min="13309" max="13556" width="8.58203125" style="142"/>
    <col min="13557" max="13557" width="4.08203125" style="142" customWidth="1"/>
    <col min="13558" max="13558" width="19.08203125" style="142" customWidth="1"/>
    <col min="13559" max="13559" width="6" style="142" customWidth="1"/>
    <col min="13560" max="13560" width="8.33203125" style="142" customWidth="1"/>
    <col min="13561" max="13561" width="10.83203125" style="142" customWidth="1"/>
    <col min="13562" max="13562" width="11" style="142" customWidth="1"/>
    <col min="13563" max="13563" width="10.83203125" style="142" customWidth="1"/>
    <col min="13564" max="13564" width="8.203125E-2" style="142" customWidth="1"/>
    <col min="13565" max="13812" width="8.58203125" style="142"/>
    <col min="13813" max="13813" width="4.08203125" style="142" customWidth="1"/>
    <col min="13814" max="13814" width="19.08203125" style="142" customWidth="1"/>
    <col min="13815" max="13815" width="6" style="142" customWidth="1"/>
    <col min="13816" max="13816" width="8.33203125" style="142" customWidth="1"/>
    <col min="13817" max="13817" width="10.83203125" style="142" customWidth="1"/>
    <col min="13818" max="13818" width="11" style="142" customWidth="1"/>
    <col min="13819" max="13819" width="10.83203125" style="142" customWidth="1"/>
    <col min="13820" max="13820" width="8.203125E-2" style="142" customWidth="1"/>
    <col min="13821" max="14068" width="8.58203125" style="142"/>
    <col min="14069" max="14069" width="4.08203125" style="142" customWidth="1"/>
    <col min="14070" max="14070" width="19.08203125" style="142" customWidth="1"/>
    <col min="14071" max="14071" width="6" style="142" customWidth="1"/>
    <col min="14072" max="14072" width="8.33203125" style="142" customWidth="1"/>
    <col min="14073" max="14073" width="10.83203125" style="142" customWidth="1"/>
    <col min="14074" max="14074" width="11" style="142" customWidth="1"/>
    <col min="14075" max="14075" width="10.83203125" style="142" customWidth="1"/>
    <col min="14076" max="14076" width="8.203125E-2" style="142" customWidth="1"/>
    <col min="14077" max="14324" width="8.58203125" style="142"/>
    <col min="14325" max="14325" width="4.08203125" style="142" customWidth="1"/>
    <col min="14326" max="14326" width="19.08203125" style="142" customWidth="1"/>
    <col min="14327" max="14327" width="6" style="142" customWidth="1"/>
    <col min="14328" max="14328" width="8.33203125" style="142" customWidth="1"/>
    <col min="14329" max="14329" width="10.83203125" style="142" customWidth="1"/>
    <col min="14330" max="14330" width="11" style="142" customWidth="1"/>
    <col min="14331" max="14331" width="10.83203125" style="142" customWidth="1"/>
    <col min="14332" max="14332" width="8.203125E-2" style="142" customWidth="1"/>
    <col min="14333" max="14580" width="8.58203125" style="142"/>
    <col min="14581" max="14581" width="4.08203125" style="142" customWidth="1"/>
    <col min="14582" max="14582" width="19.08203125" style="142" customWidth="1"/>
    <col min="14583" max="14583" width="6" style="142" customWidth="1"/>
    <col min="14584" max="14584" width="8.33203125" style="142" customWidth="1"/>
    <col min="14585" max="14585" width="10.83203125" style="142" customWidth="1"/>
    <col min="14586" max="14586" width="11" style="142" customWidth="1"/>
    <col min="14587" max="14587" width="10.83203125" style="142" customWidth="1"/>
    <col min="14588" max="14588" width="8.203125E-2" style="142" customWidth="1"/>
    <col min="14589" max="14836" width="8.58203125" style="142"/>
    <col min="14837" max="14837" width="4.08203125" style="142" customWidth="1"/>
    <col min="14838" max="14838" width="19.08203125" style="142" customWidth="1"/>
    <col min="14839" max="14839" width="6" style="142" customWidth="1"/>
    <col min="14840" max="14840" width="8.33203125" style="142" customWidth="1"/>
    <col min="14841" max="14841" width="10.83203125" style="142" customWidth="1"/>
    <col min="14842" max="14842" width="11" style="142" customWidth="1"/>
    <col min="14843" max="14843" width="10.83203125" style="142" customWidth="1"/>
    <col min="14844" max="14844" width="8.203125E-2" style="142" customWidth="1"/>
    <col min="14845" max="15092" width="8.58203125" style="142"/>
    <col min="15093" max="15093" width="4.08203125" style="142" customWidth="1"/>
    <col min="15094" max="15094" width="19.08203125" style="142" customWidth="1"/>
    <col min="15095" max="15095" width="6" style="142" customWidth="1"/>
    <col min="15096" max="15096" width="8.33203125" style="142" customWidth="1"/>
    <col min="15097" max="15097" width="10.83203125" style="142" customWidth="1"/>
    <col min="15098" max="15098" width="11" style="142" customWidth="1"/>
    <col min="15099" max="15099" width="10.83203125" style="142" customWidth="1"/>
    <col min="15100" max="15100" width="8.203125E-2" style="142" customWidth="1"/>
    <col min="15101" max="15348" width="8.58203125" style="142"/>
    <col min="15349" max="15349" width="4.08203125" style="142" customWidth="1"/>
    <col min="15350" max="15350" width="19.08203125" style="142" customWidth="1"/>
    <col min="15351" max="15351" width="6" style="142" customWidth="1"/>
    <col min="15352" max="15352" width="8.33203125" style="142" customWidth="1"/>
    <col min="15353" max="15353" width="10.83203125" style="142" customWidth="1"/>
    <col min="15354" max="15354" width="11" style="142" customWidth="1"/>
    <col min="15355" max="15355" width="10.83203125" style="142" customWidth="1"/>
    <col min="15356" max="15356" width="8.203125E-2" style="142" customWidth="1"/>
    <col min="15357" max="15604" width="8.58203125" style="142"/>
    <col min="15605" max="15605" width="4.08203125" style="142" customWidth="1"/>
    <col min="15606" max="15606" width="19.08203125" style="142" customWidth="1"/>
    <col min="15607" max="15607" width="6" style="142" customWidth="1"/>
    <col min="15608" max="15608" width="8.33203125" style="142" customWidth="1"/>
    <col min="15609" max="15609" width="10.83203125" style="142" customWidth="1"/>
    <col min="15610" max="15610" width="11" style="142" customWidth="1"/>
    <col min="15611" max="15611" width="10.83203125" style="142" customWidth="1"/>
    <col min="15612" max="15612" width="8.203125E-2" style="142" customWidth="1"/>
    <col min="15613" max="15860" width="8.58203125" style="142"/>
    <col min="15861" max="15861" width="4.08203125" style="142" customWidth="1"/>
    <col min="15862" max="15862" width="19.08203125" style="142" customWidth="1"/>
    <col min="15863" max="15863" width="6" style="142" customWidth="1"/>
    <col min="15864" max="15864" width="8.33203125" style="142" customWidth="1"/>
    <col min="15865" max="15865" width="10.83203125" style="142" customWidth="1"/>
    <col min="15866" max="15866" width="11" style="142" customWidth="1"/>
    <col min="15867" max="15867" width="10.83203125" style="142" customWidth="1"/>
    <col min="15868" max="15868" width="8.203125E-2" style="142" customWidth="1"/>
    <col min="15869" max="16116" width="8.58203125" style="142"/>
    <col min="16117" max="16117" width="4.08203125" style="142" customWidth="1"/>
    <col min="16118" max="16118" width="19.08203125" style="142" customWidth="1"/>
    <col min="16119" max="16119" width="6" style="142" customWidth="1"/>
    <col min="16120" max="16120" width="8.33203125" style="142" customWidth="1"/>
    <col min="16121" max="16121" width="10.83203125" style="142" customWidth="1"/>
    <col min="16122" max="16122" width="11" style="142" customWidth="1"/>
    <col min="16123" max="16123" width="10.83203125" style="142" customWidth="1"/>
    <col min="16124" max="16124" width="8.203125E-2" style="142" customWidth="1"/>
    <col min="16125" max="16373" width="8.58203125" style="142"/>
    <col min="16374" max="16384" width="9" style="142" customWidth="1"/>
  </cols>
  <sheetData>
    <row r="1" spans="1:11" ht="31.5" customHeight="1">
      <c r="A1" s="141" t="s">
        <v>7</v>
      </c>
      <c r="B1" s="141" t="s">
        <v>8</v>
      </c>
      <c r="C1" s="141" t="s">
        <v>9</v>
      </c>
      <c r="D1" s="141" t="str">
        <f>'TSSS '!D11</f>
        <v>DG 703096</v>
      </c>
      <c r="E1" s="141" t="str">
        <f>'TSSS '!E11</f>
        <v>TSSS1</v>
      </c>
      <c r="F1" s="141" t="str">
        <f>'TSSS '!F11</f>
        <v>TSSS2</v>
      </c>
      <c r="G1" s="141" t="str">
        <f>'TSSS '!G11</f>
        <v>TSSS3</v>
      </c>
    </row>
    <row r="2" spans="1:11" ht="42">
      <c r="A2" s="141" t="s">
        <v>11</v>
      </c>
      <c r="B2" s="143" t="s">
        <v>222</v>
      </c>
      <c r="C2" s="141" t="s">
        <v>12</v>
      </c>
      <c r="D2" s="144"/>
      <c r="E2" s="270">
        <f>'TSSS '!E49</f>
        <v>3828515800</v>
      </c>
      <c r="F2" s="270">
        <f>'TSSS '!F49</f>
        <v>4574625000</v>
      </c>
      <c r="G2" s="270">
        <f>'TSSS '!G49</f>
        <v>1988851050</v>
      </c>
      <c r="I2" s="215"/>
      <c r="J2" s="215"/>
      <c r="K2" s="215"/>
    </row>
    <row r="3" spans="1:11" ht="28">
      <c r="A3" s="141" t="s">
        <v>13</v>
      </c>
      <c r="B3" s="143" t="s">
        <v>42</v>
      </c>
      <c r="C3" s="145" t="s">
        <v>200</v>
      </c>
      <c r="D3" s="146"/>
      <c r="E3" s="270">
        <f>'TSSS '!E50</f>
        <v>12050726.471514007</v>
      </c>
      <c r="F3" s="270">
        <f>'TSSS '!F50</f>
        <v>12041655.698868124</v>
      </c>
      <c r="G3" s="270">
        <f>'TSSS '!G50</f>
        <v>13188667.440318301</v>
      </c>
      <c r="I3" s="215"/>
      <c r="J3" s="215"/>
      <c r="K3" s="215"/>
    </row>
    <row r="4" spans="1:11" ht="26.25" customHeight="1">
      <c r="A4" s="141" t="s">
        <v>14</v>
      </c>
      <c r="B4" s="143" t="s">
        <v>15</v>
      </c>
      <c r="C4" s="141"/>
      <c r="D4" s="141"/>
      <c r="E4" s="147"/>
      <c r="F4" s="147"/>
      <c r="G4" s="147"/>
      <c r="I4" s="215"/>
      <c r="J4" s="215"/>
      <c r="K4" s="215"/>
    </row>
    <row r="5" spans="1:11" ht="42" hidden="1">
      <c r="A5" s="446" t="s">
        <v>16</v>
      </c>
      <c r="B5" s="143" t="str">
        <f>'TSSS '!B19</f>
        <v>Tính chất giao dịch</v>
      </c>
      <c r="C5" s="141"/>
      <c r="D5" s="141" t="str">
        <f>'TSSS '!D19</f>
        <v>Giao dịch bình thường trên thị trường</v>
      </c>
      <c r="E5" s="141" t="str">
        <f>'TSSS '!E19</f>
        <v>Giao dịch bình thường trên thị trường</v>
      </c>
      <c r="F5" s="141" t="str">
        <f>'TSSS '!F19</f>
        <v>Giao dịch bình thường trên thị trường</v>
      </c>
      <c r="G5" s="141" t="str">
        <f>'TSSS '!G19</f>
        <v>Giao dịch bình thường trên thị trường</v>
      </c>
      <c r="I5" s="215"/>
      <c r="J5" s="215"/>
      <c r="K5" s="215"/>
    </row>
    <row r="6" spans="1:11" ht="18" hidden="1" customHeight="1">
      <c r="A6" s="447"/>
      <c r="B6" s="148" t="s">
        <v>17</v>
      </c>
      <c r="C6" s="146" t="s">
        <v>18</v>
      </c>
      <c r="D6" s="149"/>
      <c r="E6" s="149">
        <v>0</v>
      </c>
      <c r="F6" s="149">
        <v>0</v>
      </c>
      <c r="G6" s="149">
        <v>0</v>
      </c>
      <c r="I6" s="216">
        <f>IF(E6=0,0,1)</f>
        <v>0</v>
      </c>
      <c r="J6" s="216">
        <f>IF(F6=0,0,1)</f>
        <v>0</v>
      </c>
      <c r="K6" s="216">
        <f>IF(G6=0,0,1)</f>
        <v>0</v>
      </c>
    </row>
    <row r="7" spans="1:11" ht="18" hidden="1" customHeight="1">
      <c r="A7" s="447"/>
      <c r="B7" s="148" t="s">
        <v>19</v>
      </c>
      <c r="C7" s="152" t="s">
        <v>200</v>
      </c>
      <c r="D7" s="146"/>
      <c r="E7" s="153">
        <f>E6*E3</f>
        <v>0</v>
      </c>
      <c r="F7" s="153">
        <f>F6*F3</f>
        <v>0</v>
      </c>
      <c r="G7" s="153">
        <f t="shared" ref="G7" si="0">G6*G3</f>
        <v>0</v>
      </c>
      <c r="I7" s="217">
        <f>ABS(E6)</f>
        <v>0</v>
      </c>
      <c r="J7" s="217">
        <f>ABS(F6)</f>
        <v>0</v>
      </c>
      <c r="K7" s="217">
        <f>ABS(G6)</f>
        <v>0</v>
      </c>
    </row>
    <row r="8" spans="1:11" hidden="1">
      <c r="A8" s="448"/>
      <c r="B8" s="148" t="s">
        <v>201</v>
      </c>
      <c r="C8" s="152" t="s">
        <v>200</v>
      </c>
      <c r="D8" s="146"/>
      <c r="E8" s="153">
        <f>E7+E3</f>
        <v>12050726.471514007</v>
      </c>
      <c r="F8" s="153">
        <f t="shared" ref="F8:G8" si="1">F7+F3</f>
        <v>12041655.698868124</v>
      </c>
      <c r="G8" s="153">
        <f t="shared" si="1"/>
        <v>13188667.440318301</v>
      </c>
      <c r="I8" s="217">
        <f>IF(E6=0,100%,ABS(E6))</f>
        <v>1</v>
      </c>
      <c r="J8" s="217">
        <f>IF(F6=0,100%,ABS(F6))</f>
        <v>1</v>
      </c>
      <c r="K8" s="217">
        <f>IF(G6=0,100%,ABS(G6))</f>
        <v>1</v>
      </c>
    </row>
    <row r="9" spans="1:11" ht="28">
      <c r="A9" s="446" t="s">
        <v>16</v>
      </c>
      <c r="B9" s="143" t="s">
        <v>6</v>
      </c>
      <c r="C9" s="141"/>
      <c r="D9" s="141" t="str">
        <f>'TSSS '!D20</f>
        <v>Có Giấy chứng nhận Quyền sử dụng đất</v>
      </c>
      <c r="E9" s="141" t="str">
        <f>'TSSS '!E20</f>
        <v>Có Giấy chứng nhận Quyền sử dụng đất</v>
      </c>
      <c r="F9" s="141" t="str">
        <f>'TSSS '!F20</f>
        <v>Có Giấy chứng nhận Quyền sử dụng đất</v>
      </c>
      <c r="G9" s="141" t="str">
        <f>'TSSS '!G20</f>
        <v>Có Giấy chứng nhận Quyền sử dụng đất</v>
      </c>
      <c r="I9" s="240"/>
      <c r="J9" s="240"/>
      <c r="K9" s="240"/>
    </row>
    <row r="10" spans="1:11" ht="18" customHeight="1">
      <c r="A10" s="447"/>
      <c r="B10" s="148" t="s">
        <v>17</v>
      </c>
      <c r="C10" s="146" t="s">
        <v>18</v>
      </c>
      <c r="D10" s="146"/>
      <c r="E10" s="150">
        <v>0</v>
      </c>
      <c r="F10" s="150">
        <v>0</v>
      </c>
      <c r="G10" s="150">
        <v>0</v>
      </c>
      <c r="H10" s="151"/>
      <c r="I10" s="216">
        <f>IF(E10=0,0,1)</f>
        <v>0</v>
      </c>
      <c r="J10" s="216">
        <f>IF(F10=0,0,1)</f>
        <v>0</v>
      </c>
      <c r="K10" s="216">
        <f>IF(G10=0,0,1)</f>
        <v>0</v>
      </c>
    </row>
    <row r="11" spans="1:11" ht="18" customHeight="1">
      <c r="A11" s="447"/>
      <c r="B11" s="148" t="s">
        <v>19</v>
      </c>
      <c r="C11" s="152" t="s">
        <v>200</v>
      </c>
      <c r="D11" s="146"/>
      <c r="E11" s="153">
        <f>E3*E10</f>
        <v>0</v>
      </c>
      <c r="F11" s="153">
        <f>F3*F10</f>
        <v>0</v>
      </c>
      <c r="G11" s="153">
        <f>G3*G10</f>
        <v>0</v>
      </c>
      <c r="I11" s="217">
        <f>ABS(E10)</f>
        <v>0</v>
      </c>
      <c r="J11" s="217">
        <f>ABS(F10)</f>
        <v>0</v>
      </c>
      <c r="K11" s="217">
        <f>ABS(G10)</f>
        <v>0</v>
      </c>
    </row>
    <row r="12" spans="1:11">
      <c r="A12" s="448"/>
      <c r="B12" s="148" t="s">
        <v>201</v>
      </c>
      <c r="C12" s="152" t="s">
        <v>200</v>
      </c>
      <c r="D12" s="146"/>
      <c r="E12" s="153">
        <f>E11+E3</f>
        <v>12050726.471514007</v>
      </c>
      <c r="F12" s="153">
        <f>F11+F3</f>
        <v>12041655.698868124</v>
      </c>
      <c r="G12" s="153">
        <f>G11+G3</f>
        <v>13188667.440318301</v>
      </c>
      <c r="I12" s="217">
        <f>IF(E10=0,100%,ABS(E10))</f>
        <v>1</v>
      </c>
      <c r="J12" s="217">
        <f>IF(F10=0,100%,ABS(F10))</f>
        <v>1</v>
      </c>
      <c r="K12" s="217">
        <f>IF(G10=0,100%,ABS(G10))</f>
        <v>1</v>
      </c>
    </row>
    <row r="13" spans="1:11" hidden="1">
      <c r="A13" s="446" t="s">
        <v>21</v>
      </c>
      <c r="B13" s="143" t="str">
        <f>'TSSS '!B21</f>
        <v>Mục đích sử dụng</v>
      </c>
      <c r="C13" s="146"/>
      <c r="D13" s="141" t="str">
        <f>'TSSS '!D21</f>
        <v>Đất ở tại đô thị</v>
      </c>
      <c r="E13" s="141" t="str">
        <f>'TSSS '!E21</f>
        <v>Đất ở tại đô thị</v>
      </c>
      <c r="F13" s="141" t="str">
        <f>'TSSS '!F21</f>
        <v>Đất ở tại đô thị</v>
      </c>
      <c r="G13" s="141" t="str">
        <f>'TSSS '!G21</f>
        <v>Đất ở tại đô thị</v>
      </c>
      <c r="I13" s="217"/>
      <c r="J13" s="217"/>
      <c r="K13" s="217"/>
    </row>
    <row r="14" spans="1:11" ht="18" hidden="1" customHeight="1">
      <c r="A14" s="447"/>
      <c r="B14" s="148" t="s">
        <v>17</v>
      </c>
      <c r="C14" s="146" t="s">
        <v>18</v>
      </c>
      <c r="D14" s="146"/>
      <c r="E14" s="150">
        <v>0</v>
      </c>
      <c r="F14" s="150">
        <v>0</v>
      </c>
      <c r="G14" s="150">
        <v>0</v>
      </c>
      <c r="H14" s="151"/>
      <c r="I14" s="216">
        <f>IF(E14=0,0,1)</f>
        <v>0</v>
      </c>
      <c r="J14" s="216">
        <f>IF(F14=0,0,1)</f>
        <v>0</v>
      </c>
      <c r="K14" s="216">
        <f>IF(G14=0,0,1)</f>
        <v>0</v>
      </c>
    </row>
    <row r="15" spans="1:11" ht="18" hidden="1" customHeight="1">
      <c r="A15" s="447"/>
      <c r="B15" s="148" t="s">
        <v>19</v>
      </c>
      <c r="C15" s="152" t="s">
        <v>200</v>
      </c>
      <c r="D15" s="146"/>
      <c r="E15" s="153">
        <f>E3*E14</f>
        <v>0</v>
      </c>
      <c r="F15" s="153">
        <f t="shared" ref="F15:G15" si="2">F3*F14</f>
        <v>0</v>
      </c>
      <c r="G15" s="153">
        <f t="shared" si="2"/>
        <v>0</v>
      </c>
      <c r="I15" s="217">
        <f>ABS(E14)</f>
        <v>0</v>
      </c>
      <c r="J15" s="217">
        <f>ABS(F14)</f>
        <v>0</v>
      </c>
      <c r="K15" s="217">
        <f>ABS(G14)</f>
        <v>0</v>
      </c>
    </row>
    <row r="16" spans="1:11" hidden="1">
      <c r="A16" s="448"/>
      <c r="B16" s="148" t="s">
        <v>201</v>
      </c>
      <c r="C16" s="152" t="s">
        <v>200</v>
      </c>
      <c r="D16" s="146"/>
      <c r="E16" s="153">
        <f>E15+E12</f>
        <v>12050726.471514007</v>
      </c>
      <c r="F16" s="153">
        <f>F15+F12</f>
        <v>12041655.698868124</v>
      </c>
      <c r="G16" s="153">
        <f>G15+G12</f>
        <v>13188667.440318301</v>
      </c>
      <c r="I16" s="217">
        <f>IF(E14=0,100%,ABS(E14))</f>
        <v>1</v>
      </c>
      <c r="J16" s="217">
        <f>IF(F14=0,100%,ABS(F14))</f>
        <v>1</v>
      </c>
      <c r="K16" s="217">
        <f>IF(G14=0,100%,ABS(G14))</f>
        <v>1</v>
      </c>
    </row>
    <row r="17" spans="1:11" ht="28" hidden="1">
      <c r="A17" s="446" t="s">
        <v>22</v>
      </c>
      <c r="B17" s="143" t="str">
        <f>'TSSS '!B22</f>
        <v>Thời hạn sử dụng đất</v>
      </c>
      <c r="C17" s="141"/>
      <c r="D17" s="141" t="str">
        <f>'TSSS '!D22</f>
        <v>Lâu dài</v>
      </c>
      <c r="E17" s="141" t="str">
        <f>'TSSS '!E22</f>
        <v>Lâu dài</v>
      </c>
      <c r="F17" s="141" t="str">
        <f>'TSSS '!F22</f>
        <v>Lâu dài</v>
      </c>
      <c r="G17" s="141" t="str">
        <f>'TSSS '!G22</f>
        <v>Lâu dài</v>
      </c>
      <c r="I17" s="217"/>
      <c r="J17" s="217"/>
      <c r="K17" s="217"/>
    </row>
    <row r="18" spans="1:11" hidden="1">
      <c r="A18" s="447"/>
      <c r="B18" s="148" t="s">
        <v>17</v>
      </c>
      <c r="C18" s="146" t="s">
        <v>18</v>
      </c>
      <c r="D18" s="146"/>
      <c r="E18" s="150">
        <v>0</v>
      </c>
      <c r="F18" s="150">
        <v>0</v>
      </c>
      <c r="G18" s="150">
        <v>0</v>
      </c>
      <c r="H18" s="151"/>
      <c r="I18" s="216">
        <f>IF(E18=0,0,1)</f>
        <v>0</v>
      </c>
      <c r="J18" s="216">
        <f>IF(F18=0,0,1)</f>
        <v>0</v>
      </c>
      <c r="K18" s="216">
        <f>IF(G18=0,0,1)</f>
        <v>0</v>
      </c>
    </row>
    <row r="19" spans="1:11" hidden="1">
      <c r="A19" s="447"/>
      <c r="B19" s="148" t="s">
        <v>19</v>
      </c>
      <c r="C19" s="152" t="s">
        <v>200</v>
      </c>
      <c r="D19" s="146"/>
      <c r="E19" s="153">
        <f>E3*E18</f>
        <v>0</v>
      </c>
      <c r="F19" s="153">
        <f>F3*F18</f>
        <v>0</v>
      </c>
      <c r="G19" s="153">
        <f>G3*G18</f>
        <v>0</v>
      </c>
      <c r="I19" s="217">
        <f>ABS(E18)</f>
        <v>0</v>
      </c>
      <c r="J19" s="217">
        <f>ABS(F18)</f>
        <v>0</v>
      </c>
      <c r="K19" s="217">
        <f>ABS(G18)</f>
        <v>0</v>
      </c>
    </row>
    <row r="20" spans="1:11" hidden="1">
      <c r="A20" s="448"/>
      <c r="B20" s="148" t="s">
        <v>201</v>
      </c>
      <c r="C20" s="152" t="s">
        <v>200</v>
      </c>
      <c r="D20" s="146"/>
      <c r="E20" s="153">
        <f>E19+E16</f>
        <v>12050726.471514007</v>
      </c>
      <c r="F20" s="153">
        <f>F19+F16</f>
        <v>12041655.698868124</v>
      </c>
      <c r="G20" s="153">
        <f>G19+G16</f>
        <v>13188667.440318301</v>
      </c>
      <c r="I20" s="217">
        <f>IF(E18=0,100%,ABS(E18))</f>
        <v>1</v>
      </c>
      <c r="J20" s="217">
        <f>IF(F18=0,100%,ABS(F18))</f>
        <v>1</v>
      </c>
      <c r="K20" s="217">
        <f>IF(G18=0,100%,ABS(G18))</f>
        <v>1</v>
      </c>
    </row>
    <row r="21" spans="1:11" ht="42">
      <c r="A21" s="446" t="s">
        <v>20</v>
      </c>
      <c r="B21" s="143" t="str">
        <f>'TSSS '!B23</f>
        <v>Vị trí</v>
      </c>
      <c r="C21" s="141"/>
      <c r="D21" s="141" t="str">
        <f>'TSSS '!D23</f>
        <v>Vị trí 1 đường DT702, giao thông thuận tiện</v>
      </c>
      <c r="E21" s="141" t="str">
        <f>'TSSS '!E23</f>
        <v>Vị trí 1 đường DT702, giao thông thuận tiện</v>
      </c>
      <c r="F21" s="141" t="str">
        <f>'TSSS '!F23</f>
        <v>Vị trí 1 đường DT702, giao thông thuận tiện</v>
      </c>
      <c r="G21" s="141" t="str">
        <f>'TSSS '!G23</f>
        <v>Vị trí 1 đường DT702, giao thông thuận tiện</v>
      </c>
      <c r="I21" s="215"/>
      <c r="J21" s="215"/>
      <c r="K21" s="215"/>
    </row>
    <row r="22" spans="1:11">
      <c r="A22" s="447"/>
      <c r="B22" s="148" t="s">
        <v>17</v>
      </c>
      <c r="C22" s="146" t="s">
        <v>18</v>
      </c>
      <c r="D22" s="146"/>
      <c r="E22" s="150">
        <v>0.05</v>
      </c>
      <c r="F22" s="150">
        <v>-0.02</v>
      </c>
      <c r="G22" s="150">
        <v>0</v>
      </c>
      <c r="H22" s="151"/>
      <c r="I22" s="216">
        <f>IF(E22=0,0,1)</f>
        <v>1</v>
      </c>
      <c r="J22" s="216">
        <f>IF(F22=0,0,1)</f>
        <v>1</v>
      </c>
      <c r="K22" s="216">
        <f>IF(G22=0,0,1)</f>
        <v>0</v>
      </c>
    </row>
    <row r="23" spans="1:11" ht="18" customHeight="1">
      <c r="A23" s="447"/>
      <c r="B23" s="148" t="s">
        <v>19</v>
      </c>
      <c r="C23" s="152" t="s">
        <v>200</v>
      </c>
      <c r="D23" s="146"/>
      <c r="E23" s="153">
        <f>E20*E22</f>
        <v>602536.3235757004</v>
      </c>
      <c r="F23" s="153">
        <f t="shared" ref="F23:G23" si="3">F20*F22</f>
        <v>-240833.11397736249</v>
      </c>
      <c r="G23" s="153">
        <f t="shared" si="3"/>
        <v>0</v>
      </c>
      <c r="I23" s="217">
        <f>ABS(E22)</f>
        <v>0.05</v>
      </c>
      <c r="J23" s="217">
        <f>ABS(F22)</f>
        <v>0.02</v>
      </c>
      <c r="K23" s="217">
        <f>ABS(G22)</f>
        <v>0</v>
      </c>
    </row>
    <row r="24" spans="1:11">
      <c r="A24" s="448"/>
      <c r="B24" s="148" t="s">
        <v>201</v>
      </c>
      <c r="C24" s="152" t="s">
        <v>200</v>
      </c>
      <c r="D24" s="146"/>
      <c r="E24" s="153">
        <f>E23+E20</f>
        <v>12653262.795089707</v>
      </c>
      <c r="F24" s="153">
        <f>F23+F20</f>
        <v>11800822.58489076</v>
      </c>
      <c r="G24" s="153">
        <f>G23+G20</f>
        <v>13188667.440318301</v>
      </c>
      <c r="I24" s="217">
        <f>IF(E22=0,100%,ABS(E22))</f>
        <v>0.05</v>
      </c>
      <c r="J24" s="217">
        <f>IF(F22=0,100%,ABS(F22))</f>
        <v>0.02</v>
      </c>
      <c r="K24" s="217">
        <f>IF(G22=0,100%,ABS(G22))</f>
        <v>1</v>
      </c>
    </row>
    <row r="25" spans="1:11" ht="36" customHeight="1">
      <c r="A25" s="446" t="s">
        <v>21</v>
      </c>
      <c r="B25" s="143" t="str">
        <f>'TSSS '!B24</f>
        <v>Đường trước mặt tài sản</v>
      </c>
      <c r="C25" s="141"/>
      <c r="D25" s="141" t="str">
        <f>'TSSS '!D24</f>
        <v>12m</v>
      </c>
      <c r="E25" s="141" t="str">
        <f>'TSSS '!E24</f>
        <v>20m</v>
      </c>
      <c r="F25" s="141" t="str">
        <f>'TSSS '!F24</f>
        <v>20m</v>
      </c>
      <c r="G25" s="141" t="str">
        <f>'TSSS '!G24</f>
        <v>20m</v>
      </c>
      <c r="I25" s="215">
        <f>I29/20</f>
        <v>11.395</v>
      </c>
      <c r="J25" s="215">
        <f t="shared" ref="J25:K25" si="4">J29/15</f>
        <v>9.8666666666666671</v>
      </c>
      <c r="K25" s="215">
        <f t="shared" si="4"/>
        <v>30.353333333333332</v>
      </c>
    </row>
    <row r="26" spans="1:11">
      <c r="A26" s="447"/>
      <c r="B26" s="148" t="s">
        <v>17</v>
      </c>
      <c r="C26" s="146" t="s">
        <v>18</v>
      </c>
      <c r="D26" s="146"/>
      <c r="E26" s="150">
        <v>0</v>
      </c>
      <c r="F26" s="150">
        <v>-0.1</v>
      </c>
      <c r="G26" s="150">
        <v>-0.15</v>
      </c>
      <c r="H26" s="151"/>
      <c r="I26" s="216">
        <f>IF(E26=0,0,1)</f>
        <v>0</v>
      </c>
      <c r="J26" s="216">
        <f>IF(F26=0,0,1)</f>
        <v>1</v>
      </c>
      <c r="K26" s="216">
        <f>IF(G26=0,0,1)</f>
        <v>1</v>
      </c>
    </row>
    <row r="27" spans="1:11" ht="18" customHeight="1">
      <c r="A27" s="447"/>
      <c r="B27" s="148" t="s">
        <v>19</v>
      </c>
      <c r="C27" s="152" t="s">
        <v>200</v>
      </c>
      <c r="D27" s="146"/>
      <c r="E27" s="153">
        <f>E20*E26</f>
        <v>0</v>
      </c>
      <c r="F27" s="153">
        <f t="shared" ref="F27:G27" si="5">F20*F26</f>
        <v>-1204165.5698868125</v>
      </c>
      <c r="G27" s="153">
        <f t="shared" si="5"/>
        <v>-1978300.1160477451</v>
      </c>
      <c r="I27" s="217">
        <f>ABS(E26)</f>
        <v>0</v>
      </c>
      <c r="J27" s="217">
        <f>ABS(F26)</f>
        <v>0.1</v>
      </c>
      <c r="K27" s="217">
        <f>ABS(G26)</f>
        <v>0.15</v>
      </c>
    </row>
    <row r="28" spans="1:11">
      <c r="A28" s="448"/>
      <c r="B28" s="148" t="s">
        <v>201</v>
      </c>
      <c r="C28" s="152" t="s">
        <v>200</v>
      </c>
      <c r="D28" s="146"/>
      <c r="E28" s="153">
        <f>E27+E24</f>
        <v>12653262.795089707</v>
      </c>
      <c r="F28" s="153">
        <f>F27+F24</f>
        <v>10596657.015003948</v>
      </c>
      <c r="G28" s="153">
        <f>G27+G24</f>
        <v>11210367.324270556</v>
      </c>
      <c r="I28" s="217">
        <f>IF(E26=0,100%,ABS(E26))</f>
        <v>1</v>
      </c>
      <c r="J28" s="217">
        <f>IF(F26=0,100%,ABS(F26))</f>
        <v>0.1</v>
      </c>
      <c r="K28" s="217">
        <f>IF(G26=0,100%,ABS(G26))</f>
        <v>0.15</v>
      </c>
    </row>
    <row r="29" spans="1:11">
      <c r="A29" s="446" t="s">
        <v>22</v>
      </c>
      <c r="B29" s="143" t="str">
        <f>'TSSS '!B25</f>
        <v>Diện tích đất (m²)</v>
      </c>
      <c r="C29" s="141" t="s">
        <v>263</v>
      </c>
      <c r="D29" s="141">
        <f>'TSSS '!D25/2</f>
        <v>637.9</v>
      </c>
      <c r="E29" s="141">
        <f>'TSSS '!E25</f>
        <v>410</v>
      </c>
      <c r="F29" s="141">
        <f>'TSSS '!F25</f>
        <v>489.9</v>
      </c>
      <c r="G29" s="141">
        <f>'TSSS '!G25</f>
        <v>182.6</v>
      </c>
      <c r="I29" s="215">
        <f>$D$29-E29</f>
        <v>227.89999999999998</v>
      </c>
      <c r="J29" s="215">
        <f t="shared" ref="J29:K29" si="6">$D$29-F29</f>
        <v>148</v>
      </c>
      <c r="K29" s="215">
        <f t="shared" si="6"/>
        <v>455.29999999999995</v>
      </c>
    </row>
    <row r="30" spans="1:11">
      <c r="A30" s="447"/>
      <c r="B30" s="148" t="s">
        <v>17</v>
      </c>
      <c r="C30" s="146" t="s">
        <v>18</v>
      </c>
      <c r="D30" s="146"/>
      <c r="E30" s="150">
        <v>0.02</v>
      </c>
      <c r="F30" s="150">
        <v>-0.12</v>
      </c>
      <c r="G30" s="150">
        <v>-0.14000000000000001</v>
      </c>
      <c r="H30" s="151"/>
      <c r="I30" s="216">
        <f>IF(E30=0,0,1)</f>
        <v>1</v>
      </c>
      <c r="J30" s="216">
        <f>IF(F30=0,0,1)</f>
        <v>1</v>
      </c>
      <c r="K30" s="216">
        <f>IF(G30=0,0,1)</f>
        <v>1</v>
      </c>
    </row>
    <row r="31" spans="1:11">
      <c r="A31" s="447"/>
      <c r="B31" s="148" t="s">
        <v>19</v>
      </c>
      <c r="C31" s="152" t="s">
        <v>200</v>
      </c>
      <c r="D31" s="146"/>
      <c r="E31" s="153">
        <f>E20*E30</f>
        <v>241014.52943028015</v>
      </c>
      <c r="F31" s="153">
        <f>F20*F30</f>
        <v>-1444998.6838641749</v>
      </c>
      <c r="G31" s="153">
        <f t="shared" ref="G31" si="7">G20*G30</f>
        <v>-1846413.4416445624</v>
      </c>
      <c r="I31" s="217">
        <f>ABS(E30)</f>
        <v>0.02</v>
      </c>
      <c r="J31" s="217">
        <f>ABS(F30)</f>
        <v>0.12</v>
      </c>
      <c r="K31" s="217">
        <f>ABS(G30)</f>
        <v>0.14000000000000001</v>
      </c>
    </row>
    <row r="32" spans="1:11">
      <c r="A32" s="448"/>
      <c r="B32" s="148" t="s">
        <v>201</v>
      </c>
      <c r="C32" s="152" t="s">
        <v>200</v>
      </c>
      <c r="D32" s="146"/>
      <c r="E32" s="153">
        <f>E31+E28</f>
        <v>12894277.324519986</v>
      </c>
      <c r="F32" s="153">
        <f t="shared" ref="F32:G32" si="8">F31+F28</f>
        <v>9151658.3311397731</v>
      </c>
      <c r="G32" s="153">
        <f t="shared" si="8"/>
        <v>9363953.8826259933</v>
      </c>
      <c r="I32" s="217">
        <f>IF(E30=0,100%,ABS(E30))</f>
        <v>0.02</v>
      </c>
      <c r="J32" s="217">
        <f>IF(F30=0,100%,ABS(F30))</f>
        <v>0.12</v>
      </c>
      <c r="K32" s="217">
        <f>IF(G30=0,100%,ABS(G30))</f>
        <v>0.14000000000000001</v>
      </c>
    </row>
    <row r="33" spans="1:11">
      <c r="A33" s="446" t="s">
        <v>23</v>
      </c>
      <c r="B33" s="154" t="str">
        <f>'TSSS '!B28</f>
        <v>Mặt tiền (m)</v>
      </c>
      <c r="C33" s="145" t="s">
        <v>264</v>
      </c>
      <c r="D33" s="141">
        <f>'TSSS '!D28/2</f>
        <v>8.67</v>
      </c>
      <c r="E33" s="141">
        <f>'TSSS '!E28</f>
        <v>10</v>
      </c>
      <c r="F33" s="141">
        <f>'TSSS '!F28</f>
        <v>12</v>
      </c>
      <c r="G33" s="141">
        <f>'TSSS '!G28</f>
        <v>7</v>
      </c>
      <c r="I33" s="215"/>
      <c r="J33" s="215"/>
      <c r="K33" s="215"/>
    </row>
    <row r="34" spans="1:11">
      <c r="A34" s="447"/>
      <c r="B34" s="148" t="s">
        <v>17</v>
      </c>
      <c r="C34" s="146" t="s">
        <v>18</v>
      </c>
      <c r="D34" s="146"/>
      <c r="E34" s="150">
        <v>0.01</v>
      </c>
      <c r="F34" s="150">
        <v>7.0000000000000007E-2</v>
      </c>
      <c r="G34" s="150">
        <v>7.0000000000000007E-2</v>
      </c>
      <c r="H34" s="151"/>
      <c r="I34" s="216">
        <f>IF(E34=0,0,1)</f>
        <v>1</v>
      </c>
      <c r="J34" s="216">
        <f>IF(F34=0,0,1)</f>
        <v>1</v>
      </c>
      <c r="K34" s="216">
        <f>IF(G34=0,0,1)</f>
        <v>1</v>
      </c>
    </row>
    <row r="35" spans="1:11">
      <c r="A35" s="447"/>
      <c r="B35" s="148" t="s">
        <v>19</v>
      </c>
      <c r="C35" s="152" t="s">
        <v>200</v>
      </c>
      <c r="D35" s="146"/>
      <c r="E35" s="153">
        <f>E20*E34</f>
        <v>120507.26471514007</v>
      </c>
      <c r="F35" s="153">
        <f t="shared" ref="F35:G35" si="9">F20*F34</f>
        <v>842915.89892076876</v>
      </c>
      <c r="G35" s="153">
        <f t="shared" si="9"/>
        <v>923206.7208222812</v>
      </c>
      <c r="I35" s="217">
        <f>ABS(E34)</f>
        <v>0.01</v>
      </c>
      <c r="J35" s="217">
        <f>ABS(F34)</f>
        <v>7.0000000000000007E-2</v>
      </c>
      <c r="K35" s="217">
        <f>ABS(G34)</f>
        <v>7.0000000000000007E-2</v>
      </c>
    </row>
    <row r="36" spans="1:11">
      <c r="A36" s="448"/>
      <c r="B36" s="148" t="s">
        <v>201</v>
      </c>
      <c r="C36" s="152" t="s">
        <v>200</v>
      </c>
      <c r="D36" s="146"/>
      <c r="E36" s="153">
        <f>E35+E32</f>
        <v>13014784.589235127</v>
      </c>
      <c r="F36" s="153">
        <f t="shared" ref="F36:G36" si="10">F35+F32</f>
        <v>9994574.230060542</v>
      </c>
      <c r="G36" s="153">
        <f t="shared" si="10"/>
        <v>10287160.603448275</v>
      </c>
      <c r="I36" s="217">
        <f>IF(E34=0,100%,ABS(E34))</f>
        <v>0.01</v>
      </c>
      <c r="J36" s="217">
        <f>IF(F34=0,100%,ABS(F34))</f>
        <v>7.0000000000000007E-2</v>
      </c>
      <c r="K36" s="217">
        <f>IF(G34=0,100%,ABS(G34))</f>
        <v>7.0000000000000007E-2</v>
      </c>
    </row>
    <row r="37" spans="1:11" s="189" customFormat="1" hidden="1">
      <c r="A37" s="449" t="s">
        <v>52</v>
      </c>
      <c r="B37" s="241" t="str">
        <f>'TSSS '!B29</f>
        <v>Chiều sâu (m)</v>
      </c>
      <c r="C37" s="242"/>
      <c r="D37" s="188">
        <f>'TSSS '!D29</f>
        <v>21.34</v>
      </c>
      <c r="E37" s="188">
        <f>'TSSS '!E29</f>
        <v>0</v>
      </c>
      <c r="F37" s="188">
        <f>'TSSS '!F29</f>
        <v>0</v>
      </c>
      <c r="G37" s="188">
        <f>'TSSS '!G29</f>
        <v>0</v>
      </c>
      <c r="I37" s="243"/>
      <c r="J37" s="243"/>
      <c r="K37" s="243"/>
    </row>
    <row r="38" spans="1:11" s="189" customFormat="1" hidden="1">
      <c r="A38" s="450"/>
      <c r="B38" s="182" t="s">
        <v>17</v>
      </c>
      <c r="C38" s="180" t="s">
        <v>18</v>
      </c>
      <c r="D38" s="180"/>
      <c r="E38" s="190">
        <v>0</v>
      </c>
      <c r="F38" s="190">
        <v>0</v>
      </c>
      <c r="G38" s="190">
        <v>0</v>
      </c>
      <c r="H38" s="191"/>
      <c r="I38" s="244">
        <f>IF(E38=0,0,1)</f>
        <v>0</v>
      </c>
      <c r="J38" s="244">
        <f>IF(F38=0,0,1)</f>
        <v>0</v>
      </c>
      <c r="K38" s="244">
        <f>IF(G38=0,0,1)</f>
        <v>0</v>
      </c>
    </row>
    <row r="39" spans="1:11" s="189" customFormat="1" hidden="1">
      <c r="A39" s="450"/>
      <c r="B39" s="182" t="s">
        <v>19</v>
      </c>
      <c r="C39" s="186" t="s">
        <v>200</v>
      </c>
      <c r="D39" s="180"/>
      <c r="E39" s="192">
        <f>E20*E38</f>
        <v>0</v>
      </c>
      <c r="F39" s="192">
        <f t="shared" ref="F39:G39" si="11">F20*F38</f>
        <v>0</v>
      </c>
      <c r="G39" s="192">
        <f t="shared" si="11"/>
        <v>0</v>
      </c>
      <c r="I39" s="245">
        <f>ABS(E38)</f>
        <v>0</v>
      </c>
      <c r="J39" s="245">
        <f>ABS(F38)</f>
        <v>0</v>
      </c>
      <c r="K39" s="245">
        <f>ABS(G38)</f>
        <v>0</v>
      </c>
    </row>
    <row r="40" spans="1:11" s="189" customFormat="1" hidden="1">
      <c r="A40" s="451"/>
      <c r="B40" s="182" t="s">
        <v>201</v>
      </c>
      <c r="C40" s="186" t="s">
        <v>200</v>
      </c>
      <c r="D40" s="180"/>
      <c r="E40" s="192">
        <f>E39+E36</f>
        <v>13014784.589235127</v>
      </c>
      <c r="F40" s="192">
        <f>F39+F36</f>
        <v>9994574.230060542</v>
      </c>
      <c r="G40" s="192">
        <f>G39+G36</f>
        <v>10287160.603448275</v>
      </c>
      <c r="I40" s="245">
        <f>IF(E38=0,100%,ABS(E38))</f>
        <v>1</v>
      </c>
      <c r="J40" s="245">
        <f>IF(F38=0,100%,ABS(F38))</f>
        <v>1</v>
      </c>
      <c r="K40" s="245">
        <f>IF(G38=0,100%,ABS(G38))</f>
        <v>1</v>
      </c>
    </row>
    <row r="41" spans="1:11" ht="28">
      <c r="A41" s="446" t="s">
        <v>24</v>
      </c>
      <c r="B41" s="143" t="str">
        <f>'TSSS '!B30</f>
        <v>Số lượng mặt tiếp giáp</v>
      </c>
      <c r="C41" s="146"/>
      <c r="D41" s="141" t="str">
        <f>'TSSS '!D30</f>
        <v>1 mặt tiền</v>
      </c>
      <c r="E41" s="141" t="str">
        <f>'TSSS '!E30</f>
        <v>1 mặt tiền</v>
      </c>
      <c r="F41" s="141" t="str">
        <f>'TSSS '!F30</f>
        <v>1 mặt tiền</v>
      </c>
      <c r="G41" s="141" t="str">
        <f>'TSSS '!G30</f>
        <v>1 mặt tiền</v>
      </c>
      <c r="I41" s="215"/>
      <c r="J41" s="215"/>
      <c r="K41" s="215"/>
    </row>
    <row r="42" spans="1:11">
      <c r="A42" s="447"/>
      <c r="B42" s="148" t="s">
        <v>17</v>
      </c>
      <c r="C42" s="146" t="s">
        <v>18</v>
      </c>
      <c r="D42" s="146"/>
      <c r="E42" s="150">
        <v>0</v>
      </c>
      <c r="F42" s="150">
        <v>0</v>
      </c>
      <c r="G42" s="150">
        <v>0</v>
      </c>
      <c r="H42" s="151"/>
      <c r="I42" s="216">
        <f>IF(E42=0,0,1)</f>
        <v>0</v>
      </c>
      <c r="J42" s="216">
        <f>IF(F42=0,0,1)</f>
        <v>0</v>
      </c>
      <c r="K42" s="216">
        <f>IF(G42=0,0,1)</f>
        <v>0</v>
      </c>
    </row>
    <row r="43" spans="1:11">
      <c r="A43" s="447"/>
      <c r="B43" s="148" t="s">
        <v>19</v>
      </c>
      <c r="C43" s="152" t="s">
        <v>200</v>
      </c>
      <c r="D43" s="146"/>
      <c r="E43" s="153">
        <f>E20*E42</f>
        <v>0</v>
      </c>
      <c r="F43" s="153">
        <f t="shared" ref="F43:G43" si="12">F20*F42</f>
        <v>0</v>
      </c>
      <c r="G43" s="153">
        <f t="shared" si="12"/>
        <v>0</v>
      </c>
      <c r="I43" s="217">
        <f>ABS(E42)</f>
        <v>0</v>
      </c>
      <c r="J43" s="217">
        <f>ABS(F42)</f>
        <v>0</v>
      </c>
      <c r="K43" s="217">
        <f>ABS(G42)</f>
        <v>0</v>
      </c>
    </row>
    <row r="44" spans="1:11">
      <c r="A44" s="448"/>
      <c r="B44" s="148" t="s">
        <v>201</v>
      </c>
      <c r="C44" s="152" t="s">
        <v>200</v>
      </c>
      <c r="D44" s="146"/>
      <c r="E44" s="153">
        <f>E43+E40</f>
        <v>13014784.589235127</v>
      </c>
      <c r="F44" s="153">
        <f>F43+F40</f>
        <v>9994574.230060542</v>
      </c>
      <c r="G44" s="153">
        <f>G43+G40</f>
        <v>10287160.603448275</v>
      </c>
      <c r="I44" s="217">
        <f>IF(E42=0,100%,ABS(E42))</f>
        <v>1</v>
      </c>
      <c r="J44" s="217">
        <f>IF(F42=0,100%,ABS(F42))</f>
        <v>1</v>
      </c>
      <c r="K44" s="217">
        <f>IF(G42=0,100%,ABS(G42))</f>
        <v>1</v>
      </c>
    </row>
    <row r="45" spans="1:11" ht="28">
      <c r="A45" s="446" t="s">
        <v>50</v>
      </c>
      <c r="B45" s="143" t="str">
        <f>'TSSS '!B31</f>
        <v>Hình dáng thửa đất</v>
      </c>
      <c r="C45" s="146"/>
      <c r="D45" s="141" t="str">
        <f>'TSSS '!D31</f>
        <v>Tương đối vuông vắn</v>
      </c>
      <c r="E45" s="141" t="str">
        <f>'TSSS '!E31</f>
        <v>Vuông vắn</v>
      </c>
      <c r="F45" s="141" t="str">
        <f>'TSSS '!F31</f>
        <v>Vuông vắn</v>
      </c>
      <c r="G45" s="141" t="str">
        <f>'TSSS '!G31</f>
        <v>Vuông vắn</v>
      </c>
      <c r="I45" s="215"/>
      <c r="J45" s="215"/>
      <c r="K45" s="215"/>
    </row>
    <row r="46" spans="1:11">
      <c r="A46" s="447"/>
      <c r="B46" s="148" t="s">
        <v>17</v>
      </c>
      <c r="C46" s="146" t="s">
        <v>18</v>
      </c>
      <c r="D46" s="146"/>
      <c r="E46" s="150">
        <v>0</v>
      </c>
      <c r="F46" s="150">
        <v>0</v>
      </c>
      <c r="G46" s="150">
        <v>0</v>
      </c>
      <c r="H46" s="151"/>
      <c r="I46" s="216">
        <f>IF(E46=0,0,1)</f>
        <v>0</v>
      </c>
      <c r="J46" s="216">
        <f>IF(F46=0,0,1)</f>
        <v>0</v>
      </c>
      <c r="K46" s="216">
        <f>IF(G46=0,0,1)</f>
        <v>0</v>
      </c>
    </row>
    <row r="47" spans="1:11">
      <c r="A47" s="447"/>
      <c r="B47" s="148" t="s">
        <v>19</v>
      </c>
      <c r="C47" s="152" t="s">
        <v>200</v>
      </c>
      <c r="D47" s="146"/>
      <c r="E47" s="153">
        <f>E20*E46</f>
        <v>0</v>
      </c>
      <c r="F47" s="153">
        <f>F20*F46</f>
        <v>0</v>
      </c>
      <c r="G47" s="153">
        <f t="shared" ref="G47" si="13">G20*G46</f>
        <v>0</v>
      </c>
      <c r="I47" s="217">
        <f>ABS(E46)</f>
        <v>0</v>
      </c>
      <c r="J47" s="217">
        <f>ABS(F46)</f>
        <v>0</v>
      </c>
      <c r="K47" s="217">
        <f>ABS(G46)</f>
        <v>0</v>
      </c>
    </row>
    <row r="48" spans="1:11">
      <c r="A48" s="448"/>
      <c r="B48" s="148" t="s">
        <v>201</v>
      </c>
      <c r="C48" s="152" t="s">
        <v>200</v>
      </c>
      <c r="D48" s="146"/>
      <c r="E48" s="153">
        <f>E47+E44</f>
        <v>13014784.589235127</v>
      </c>
      <c r="F48" s="153">
        <f t="shared" ref="F48:G48" si="14">F47+F44</f>
        <v>9994574.230060542</v>
      </c>
      <c r="G48" s="153">
        <f t="shared" si="14"/>
        <v>10287160.603448275</v>
      </c>
      <c r="I48" s="217">
        <f>IF(E46=0,100%,ABS(E46))</f>
        <v>1</v>
      </c>
      <c r="J48" s="217">
        <f>IF(F46=0,100%,ABS(F46))</f>
        <v>1</v>
      </c>
      <c r="K48" s="217">
        <f>IF(G46=0,100%,ABS(G46))</f>
        <v>1</v>
      </c>
    </row>
    <row r="49" spans="1:11" ht="28">
      <c r="A49" s="446" t="s">
        <v>51</v>
      </c>
      <c r="B49" s="143" t="str">
        <f>'TSSS '!B33</f>
        <v>Yếu tố phong thủy</v>
      </c>
      <c r="C49" s="146"/>
      <c r="D49" s="141" t="str">
        <f>'TSSS '!D33</f>
        <v>Không có bất lợi thương mại</v>
      </c>
      <c r="E49" s="141" t="str">
        <f>'TSSS '!E33</f>
        <v>Không có bất lợi thương mại</v>
      </c>
      <c r="F49" s="141" t="str">
        <f>'TSSS '!F33</f>
        <v>Không có bất lợi thương mại</v>
      </c>
      <c r="G49" s="141" t="str">
        <f>'TSSS '!G33</f>
        <v>Không có bất lợi thương mại</v>
      </c>
      <c r="I49" s="240"/>
      <c r="J49" s="240"/>
      <c r="K49" s="240"/>
    </row>
    <row r="50" spans="1:11">
      <c r="A50" s="447"/>
      <c r="B50" s="148" t="s">
        <v>17</v>
      </c>
      <c r="C50" s="146" t="s">
        <v>18</v>
      </c>
      <c r="D50" s="146"/>
      <c r="E50" s="150">
        <v>0</v>
      </c>
      <c r="F50" s="150">
        <v>0</v>
      </c>
      <c r="G50" s="150">
        <v>0</v>
      </c>
      <c r="H50" s="151"/>
      <c r="I50" s="246">
        <f>IF(E50=0,0,1)</f>
        <v>0</v>
      </c>
      <c r="J50" s="246">
        <f>IF(F50=0,0,1)</f>
        <v>0</v>
      </c>
      <c r="K50" s="246">
        <f>IF(G50=0,0,1)</f>
        <v>0</v>
      </c>
    </row>
    <row r="51" spans="1:11">
      <c r="A51" s="447"/>
      <c r="B51" s="148" t="s">
        <v>19</v>
      </c>
      <c r="C51" s="152" t="s">
        <v>200</v>
      </c>
      <c r="D51" s="146"/>
      <c r="E51" s="153">
        <f>E20*E50</f>
        <v>0</v>
      </c>
      <c r="F51" s="153">
        <f t="shared" ref="F51:G51" si="15">F20*F50</f>
        <v>0</v>
      </c>
      <c r="G51" s="153">
        <f t="shared" si="15"/>
        <v>0</v>
      </c>
      <c r="I51" s="247">
        <f>ABS(E50)</f>
        <v>0</v>
      </c>
      <c r="J51" s="247">
        <f>ABS(F50)</f>
        <v>0</v>
      </c>
      <c r="K51" s="247">
        <f>ABS(G50)</f>
        <v>0</v>
      </c>
    </row>
    <row r="52" spans="1:11">
      <c r="A52" s="448"/>
      <c r="B52" s="148" t="s">
        <v>201</v>
      </c>
      <c r="C52" s="152" t="s">
        <v>200</v>
      </c>
      <c r="D52" s="146"/>
      <c r="E52" s="153">
        <f>E51+E48</f>
        <v>13014784.589235127</v>
      </c>
      <c r="F52" s="153">
        <f t="shared" ref="F52:G52" si="16">F51+F48</f>
        <v>9994574.230060542</v>
      </c>
      <c r="G52" s="153">
        <f t="shared" si="16"/>
        <v>10287160.603448275</v>
      </c>
      <c r="I52" s="247">
        <f>IF(E50=0,100%,ABS(E50))</f>
        <v>1</v>
      </c>
      <c r="J52" s="247">
        <f>IF(F50=0,100%,ABS(F50))</f>
        <v>1</v>
      </c>
      <c r="K52" s="247">
        <f>IF(G50=0,100%,ABS(G50))</f>
        <v>1</v>
      </c>
    </row>
    <row r="53" spans="1:11" s="189" customFormat="1" ht="28" hidden="1">
      <c r="A53" s="449" t="s">
        <v>228</v>
      </c>
      <c r="B53" s="187" t="str">
        <f>'TSSS '!B33</f>
        <v>Yếu tố phong thủy</v>
      </c>
      <c r="C53" s="180"/>
      <c r="D53" s="188" t="str">
        <f>'TSSS '!D33</f>
        <v>Không có bất lợi thương mại</v>
      </c>
      <c r="E53" s="188" t="str">
        <f>'TSSS '!E33</f>
        <v>Không có bất lợi thương mại</v>
      </c>
      <c r="F53" s="188" t="str">
        <f>'TSSS '!F33</f>
        <v>Không có bất lợi thương mại</v>
      </c>
      <c r="G53" s="188" t="str">
        <f>'TSSS '!G33</f>
        <v>Không có bất lợi thương mại</v>
      </c>
      <c r="I53" s="243"/>
      <c r="J53" s="243"/>
      <c r="K53" s="243"/>
    </row>
    <row r="54" spans="1:11" s="189" customFormat="1" hidden="1">
      <c r="A54" s="450"/>
      <c r="B54" s="182" t="s">
        <v>17</v>
      </c>
      <c r="C54" s="180" t="s">
        <v>18</v>
      </c>
      <c r="D54" s="180"/>
      <c r="E54" s="190">
        <v>0</v>
      </c>
      <c r="F54" s="190">
        <v>0</v>
      </c>
      <c r="G54" s="190">
        <v>0</v>
      </c>
      <c r="H54" s="191"/>
      <c r="I54" s="244">
        <f>IF(E54=0,0,1)</f>
        <v>0</v>
      </c>
      <c r="J54" s="244">
        <f>IF(F54=0,0,1)</f>
        <v>0</v>
      </c>
      <c r="K54" s="244">
        <f>IF(G54=0,0,1)</f>
        <v>0</v>
      </c>
    </row>
    <row r="55" spans="1:11" s="189" customFormat="1" hidden="1">
      <c r="A55" s="450"/>
      <c r="B55" s="182" t="s">
        <v>19</v>
      </c>
      <c r="C55" s="186" t="s">
        <v>200</v>
      </c>
      <c r="D55" s="180"/>
      <c r="E55" s="192">
        <f>E20*E54</f>
        <v>0</v>
      </c>
      <c r="F55" s="192">
        <f t="shared" ref="F55:G55" si="17">F20*F54</f>
        <v>0</v>
      </c>
      <c r="G55" s="192">
        <f t="shared" si="17"/>
        <v>0</v>
      </c>
      <c r="I55" s="245">
        <f>ABS(E54)</f>
        <v>0</v>
      </c>
      <c r="J55" s="245">
        <f>ABS(F54)</f>
        <v>0</v>
      </c>
      <c r="K55" s="245">
        <f>ABS(G54)</f>
        <v>0</v>
      </c>
    </row>
    <row r="56" spans="1:11" s="189" customFormat="1" hidden="1">
      <c r="A56" s="451"/>
      <c r="B56" s="182" t="s">
        <v>201</v>
      </c>
      <c r="C56" s="186" t="s">
        <v>200</v>
      </c>
      <c r="D56" s="180"/>
      <c r="E56" s="192">
        <f t="shared" ref="E56:G56" si="18">E55+E52</f>
        <v>13014784.589235127</v>
      </c>
      <c r="F56" s="192">
        <f t="shared" si="18"/>
        <v>9994574.230060542</v>
      </c>
      <c r="G56" s="192">
        <f t="shared" si="18"/>
        <v>10287160.603448275</v>
      </c>
      <c r="I56" s="245">
        <f>IF(E54=0,100%,ABS(E54))</f>
        <v>1</v>
      </c>
      <c r="J56" s="245">
        <f>IF(F54=0,100%,ABS(F54))</f>
        <v>1</v>
      </c>
      <c r="K56" s="245">
        <f>IF(G54=0,100%,ABS(G54))</f>
        <v>1</v>
      </c>
    </row>
    <row r="57" spans="1:11" ht="42">
      <c r="A57" s="446" t="s">
        <v>52</v>
      </c>
      <c r="B57" s="143" t="str">
        <f>'TSSS '!B34</f>
        <v>Điều kiện cơ sở hạ tầng kỹ thuật</v>
      </c>
      <c r="C57" s="146"/>
      <c r="D57" s="141" t="str">
        <f>'TSSS '!D34</f>
        <v xml:space="preserve">Hệ thống cấp điện, cấp thoát nước đầy đủ. </v>
      </c>
      <c r="E57" s="141" t="str">
        <f>'TSSS '!E34</f>
        <v xml:space="preserve">Hệ thống cấp điện, cấp thoát nước đầy đủ. </v>
      </c>
      <c r="F57" s="141" t="str">
        <f>'TSSS '!F34</f>
        <v xml:space="preserve">Hệ thống cấp điện, cấp thoát nước đầy đủ. </v>
      </c>
      <c r="G57" s="141" t="str">
        <f>'TSSS '!G34</f>
        <v xml:space="preserve">Hệ thống cấp điện, cấp thoát nước đầy đủ. </v>
      </c>
      <c r="I57" s="215"/>
      <c r="J57" s="215"/>
      <c r="K57" s="215"/>
    </row>
    <row r="58" spans="1:11">
      <c r="A58" s="447"/>
      <c r="B58" s="148" t="s">
        <v>17</v>
      </c>
      <c r="C58" s="146" t="s">
        <v>18</v>
      </c>
      <c r="D58" s="146"/>
      <c r="E58" s="150">
        <v>0</v>
      </c>
      <c r="F58" s="150">
        <v>0</v>
      </c>
      <c r="G58" s="150">
        <v>0</v>
      </c>
      <c r="H58" s="151"/>
      <c r="I58" s="216">
        <f>IF(E58=0,0,1)</f>
        <v>0</v>
      </c>
      <c r="J58" s="216">
        <f>IF(F58=0,0,1)</f>
        <v>0</v>
      </c>
      <c r="K58" s="216">
        <f>IF(G58=0,0,1)</f>
        <v>0</v>
      </c>
    </row>
    <row r="59" spans="1:11">
      <c r="A59" s="447"/>
      <c r="B59" s="148" t="s">
        <v>19</v>
      </c>
      <c r="C59" s="152" t="s">
        <v>200</v>
      </c>
      <c r="D59" s="146"/>
      <c r="E59" s="153">
        <f>E20*E58</f>
        <v>0</v>
      </c>
      <c r="F59" s="153">
        <f t="shared" ref="F59:G59" si="19">F20*F58</f>
        <v>0</v>
      </c>
      <c r="G59" s="153">
        <f t="shared" si="19"/>
        <v>0</v>
      </c>
      <c r="I59" s="217">
        <f>ABS(E58)</f>
        <v>0</v>
      </c>
      <c r="J59" s="217">
        <f>ABS(F58)</f>
        <v>0</v>
      </c>
      <c r="K59" s="217">
        <f>ABS(G58)</f>
        <v>0</v>
      </c>
    </row>
    <row r="60" spans="1:11">
      <c r="A60" s="448"/>
      <c r="B60" s="148" t="s">
        <v>201</v>
      </c>
      <c r="C60" s="152" t="s">
        <v>200</v>
      </c>
      <c r="D60" s="146"/>
      <c r="E60" s="153">
        <f t="shared" ref="E60:G60" si="20">E59+E56</f>
        <v>13014784.589235127</v>
      </c>
      <c r="F60" s="153">
        <f t="shared" si="20"/>
        <v>9994574.230060542</v>
      </c>
      <c r="G60" s="153">
        <f t="shared" si="20"/>
        <v>10287160.603448275</v>
      </c>
      <c r="I60" s="217">
        <f>IF(E58=0,100%,ABS(E58))</f>
        <v>1</v>
      </c>
      <c r="J60" s="217">
        <f>IF(F58=0,100%,ABS(F58))</f>
        <v>1</v>
      </c>
      <c r="K60" s="217">
        <f>IF(G58=0,100%,ABS(G58))</f>
        <v>1</v>
      </c>
    </row>
    <row r="61" spans="1:11" hidden="1">
      <c r="A61" s="446" t="s">
        <v>231</v>
      </c>
      <c r="B61" s="143" t="str">
        <f>'TSSS '!B35</f>
        <v>Giao thông</v>
      </c>
      <c r="C61" s="146"/>
      <c r="D61" s="141" t="str">
        <f>'TSSS '!D35</f>
        <v>Đường bê tông</v>
      </c>
      <c r="E61" s="141" t="str">
        <f>'TSSS '!F35</f>
        <v>Đường nhựa</v>
      </c>
      <c r="F61" s="141" t="str">
        <f>'TSSS '!G35</f>
        <v>Đường nhựa</v>
      </c>
      <c r="G61" s="141" t="str">
        <f>'TSSS '!G35</f>
        <v>Đường nhựa</v>
      </c>
      <c r="I61" s="215"/>
      <c r="J61" s="215"/>
      <c r="K61" s="215"/>
    </row>
    <row r="62" spans="1:11" hidden="1">
      <c r="A62" s="447"/>
      <c r="B62" s="148" t="s">
        <v>17</v>
      </c>
      <c r="C62" s="146" t="s">
        <v>18</v>
      </c>
      <c r="D62" s="146"/>
      <c r="E62" s="150">
        <v>0</v>
      </c>
      <c r="F62" s="150">
        <v>0</v>
      </c>
      <c r="G62" s="150">
        <v>0</v>
      </c>
      <c r="H62" s="151"/>
      <c r="I62" s="216">
        <f>IF(E62=0,0,1)</f>
        <v>0</v>
      </c>
      <c r="J62" s="216">
        <f>IF(F62=0,0,1)</f>
        <v>0</v>
      </c>
      <c r="K62" s="216">
        <f>IF(G62=0,0,1)</f>
        <v>0</v>
      </c>
    </row>
    <row r="63" spans="1:11" hidden="1">
      <c r="A63" s="447"/>
      <c r="B63" s="148" t="s">
        <v>19</v>
      </c>
      <c r="C63" s="152" t="s">
        <v>200</v>
      </c>
      <c r="D63" s="146"/>
      <c r="E63" s="153">
        <f>E20*E62</f>
        <v>0</v>
      </c>
      <c r="F63" s="153">
        <f t="shared" ref="F63:G63" si="21">F20*F62</f>
        <v>0</v>
      </c>
      <c r="G63" s="153">
        <f t="shared" si="21"/>
        <v>0</v>
      </c>
      <c r="I63" s="217">
        <f>ABS(E62)</f>
        <v>0</v>
      </c>
      <c r="J63" s="217">
        <f>ABS(F62)</f>
        <v>0</v>
      </c>
      <c r="K63" s="217">
        <f>ABS(G62)</f>
        <v>0</v>
      </c>
    </row>
    <row r="64" spans="1:11" hidden="1">
      <c r="A64" s="448"/>
      <c r="B64" s="148" t="s">
        <v>201</v>
      </c>
      <c r="C64" s="152" t="s">
        <v>200</v>
      </c>
      <c r="D64" s="146"/>
      <c r="E64" s="153">
        <f t="shared" ref="E64:G64" si="22">E63+E60</f>
        <v>13014784.589235127</v>
      </c>
      <c r="F64" s="153">
        <f t="shared" si="22"/>
        <v>9994574.230060542</v>
      </c>
      <c r="G64" s="153">
        <f t="shared" si="22"/>
        <v>10287160.603448275</v>
      </c>
      <c r="I64" s="217">
        <f>IF(E62=0,100%,ABS(E62))</f>
        <v>1</v>
      </c>
      <c r="J64" s="217">
        <f>IF(F62=0,100%,ABS(F62))</f>
        <v>1</v>
      </c>
      <c r="K64" s="217">
        <f>IF(G62=0,100%,ABS(G62))</f>
        <v>1</v>
      </c>
    </row>
    <row r="65" spans="1:11" s="158" customFormat="1">
      <c r="A65" s="145" t="s">
        <v>25</v>
      </c>
      <c r="B65" s="154" t="s">
        <v>26</v>
      </c>
      <c r="C65" s="145" t="s">
        <v>200</v>
      </c>
      <c r="D65" s="145"/>
      <c r="E65" s="156">
        <f>E3+E7+E11+E15+E19+E23+E27+E31+E35+E39+E43+E47+E51+E55+E59+E63</f>
        <v>13014784.589235127</v>
      </c>
      <c r="F65" s="156">
        <f t="shared" ref="F65:G65" si="23">F3+F7+F11+F15+F19+F23+F27+F31+F35+F39+F43+F47+F51+F55+F59+F63</f>
        <v>9994574.230060542</v>
      </c>
      <c r="G65" s="156">
        <f t="shared" si="23"/>
        <v>10287160.603448275</v>
      </c>
      <c r="H65" s="157">
        <f>ROUND(E66,-6)</f>
        <v>11000000</v>
      </c>
      <c r="I65" s="215"/>
      <c r="J65" s="215"/>
      <c r="K65" s="215"/>
    </row>
    <row r="66" spans="1:11">
      <c r="A66" s="152" t="s">
        <v>27</v>
      </c>
      <c r="B66" s="148" t="s">
        <v>43</v>
      </c>
      <c r="C66" s="152" t="s">
        <v>28</v>
      </c>
      <c r="D66" s="152"/>
      <c r="E66" s="452">
        <f>ROUND(AVERAGE(E65:G65),0)</f>
        <v>11098840</v>
      </c>
      <c r="F66" s="452"/>
      <c r="G66" s="452"/>
      <c r="H66" s="159">
        <f>AVERAGE(E65:G65)</f>
        <v>11098839.807581315</v>
      </c>
      <c r="I66" s="218"/>
      <c r="J66" s="218"/>
      <c r="K66" s="218"/>
    </row>
    <row r="67" spans="1:11" ht="15" customHeight="1">
      <c r="A67" s="152" t="s">
        <v>29</v>
      </c>
      <c r="B67" s="148" t="s">
        <v>44</v>
      </c>
      <c r="C67" s="146" t="s">
        <v>18</v>
      </c>
      <c r="D67" s="152"/>
      <c r="E67" s="160">
        <f>(E65-$E$66)/$E$66</f>
        <v>0.17262566081096106</v>
      </c>
      <c r="F67" s="160">
        <f>(F65-$E$66)/$E$66</f>
        <v>-9.9493800247544603E-2</v>
      </c>
      <c r="G67" s="160">
        <f>(G65-$E$66)/$E$66</f>
        <v>-7.3131912573901822E-2</v>
      </c>
      <c r="I67" s="215"/>
      <c r="J67" s="215"/>
      <c r="K67" s="215"/>
    </row>
    <row r="68" spans="1:11" s="158" customFormat="1" ht="42">
      <c r="A68" s="145" t="s">
        <v>30</v>
      </c>
      <c r="B68" s="161" t="s">
        <v>31</v>
      </c>
      <c r="C68" s="155"/>
      <c r="D68" s="155"/>
      <c r="E68" s="156"/>
      <c r="F68" s="156"/>
      <c r="G68" s="156"/>
      <c r="I68" s="215"/>
      <c r="J68" s="215"/>
      <c r="K68" s="215"/>
    </row>
    <row r="69" spans="1:11" ht="28">
      <c r="A69" s="152" t="s">
        <v>32</v>
      </c>
      <c r="B69" s="148" t="s">
        <v>33</v>
      </c>
      <c r="C69" s="152" t="s">
        <v>28</v>
      </c>
      <c r="D69" s="152"/>
      <c r="E69" s="156">
        <f>ABS(E7)+ABS(E11)+ABS(E15)+ABS(E19)+ABS(E23)+ABS(E27)+ABS(E31)+ABS(E35)+ABS(E39)+ABS(E43)+ABS(E47)+ABS(E51)+ABS(E55)+ABS(E59)+ABS(E63)</f>
        <v>964058.11772112071</v>
      </c>
      <c r="F69" s="156">
        <f t="shared" ref="F69:G69" si="24">ABS(F7)+ABS(F11)+ABS(F15)+ABS(F19)+ABS(F23)+ABS(F27)+ABS(F31)+ABS(F35)+ABS(F39)+ABS(F43)+ABS(F47)+ABS(F51)+ABS(F55)+ABS(F59)+ABS(F63)</f>
        <v>3732913.2666491186</v>
      </c>
      <c r="G69" s="156">
        <f t="shared" si="24"/>
        <v>4747920.2785145883</v>
      </c>
      <c r="I69" s="218"/>
      <c r="J69" s="218"/>
      <c r="K69" s="218"/>
    </row>
    <row r="70" spans="1:11" ht="28">
      <c r="A70" s="152" t="s">
        <v>34</v>
      </c>
      <c r="B70" s="148" t="s">
        <v>35</v>
      </c>
      <c r="C70" s="146" t="s">
        <v>36</v>
      </c>
      <c r="D70" s="146"/>
      <c r="E70" s="263">
        <f>I71</f>
        <v>3</v>
      </c>
      <c r="F70" s="263">
        <f t="shared" ref="F70:G70" si="25">J71</f>
        <v>4</v>
      </c>
      <c r="G70" s="263">
        <f t="shared" si="25"/>
        <v>3</v>
      </c>
      <c r="I70" s="215"/>
      <c r="J70" s="215"/>
      <c r="K70" s="215"/>
    </row>
    <row r="71" spans="1:11">
      <c r="A71" s="152" t="s">
        <v>37</v>
      </c>
      <c r="B71" s="148" t="s">
        <v>38</v>
      </c>
      <c r="C71" s="146" t="s">
        <v>18</v>
      </c>
      <c r="D71" s="146"/>
      <c r="E71" s="239" t="str">
        <f>TEXT(E73,"#0%")&amp;" - "&amp;TEXT(E74,"#0%")</f>
        <v>1% - 5%</v>
      </c>
      <c r="F71" s="239" t="str">
        <f>TEXT(F73,"#0%")&amp;" - "&amp;TEXT(F74,"#0%")</f>
        <v>2% - 12%</v>
      </c>
      <c r="G71" s="239" t="str">
        <f>TEXT(G73,"#0%")&amp;" - "&amp;TEXT(G74,"#0%")</f>
        <v>7% - 14%</v>
      </c>
      <c r="H71" s="162"/>
      <c r="I71" s="219">
        <f>I6+I10+I14+I18+I22+I26+I30+I34+I42+I46+I50+I58+I62</f>
        <v>3</v>
      </c>
      <c r="J71" s="219">
        <f t="shared" ref="J71:K71" si="26">J6+J10+J14+J18+J22+J26+J30+J34+J42+J46+J50+J58+J62</f>
        <v>4</v>
      </c>
      <c r="K71" s="219">
        <f t="shared" si="26"/>
        <v>3</v>
      </c>
    </row>
    <row r="72" spans="1:11" ht="28">
      <c r="A72" s="152" t="s">
        <v>39</v>
      </c>
      <c r="B72" s="148" t="s">
        <v>40</v>
      </c>
      <c r="C72" s="152" t="s">
        <v>28</v>
      </c>
      <c r="D72" s="152"/>
      <c r="E72" s="163">
        <f>ABS(E7+E11+E15+E19+E23+E27+E31+E35+E39+E43+E47+E51+E55+E59+E63)</f>
        <v>964058.11772112071</v>
      </c>
      <c r="F72" s="163">
        <f t="shared" ref="F72:G72" si="27">ABS(F7+F11+F15+F19+F23+F27+F31+F35+F39+F43+F47+F51+F55+F59+F63)</f>
        <v>2047081.4688075809</v>
      </c>
      <c r="G72" s="163">
        <f t="shared" si="27"/>
        <v>2901506.8368700263</v>
      </c>
      <c r="I72" s="220">
        <f>MIN(I8,I12,I16,I20,I24,I28,I32,I36,I40,I44,I48,I52,I56,I60,I64)</f>
        <v>0.01</v>
      </c>
      <c r="J72" s="220">
        <f t="shared" ref="J72:K72" si="28">MIN(J8,J12,J16,J20,J24,J28,J32,J36,J40,J44,J48,J52,J56,J60,J64)</f>
        <v>0.02</v>
      </c>
      <c r="K72" s="220">
        <f t="shared" si="28"/>
        <v>7.0000000000000007E-2</v>
      </c>
    </row>
    <row r="73" spans="1:11">
      <c r="A73" s="240"/>
      <c r="B73" s="240"/>
      <c r="C73" s="240"/>
      <c r="D73" s="240" t="s">
        <v>251</v>
      </c>
      <c r="E73" s="271">
        <f>I72</f>
        <v>0.01</v>
      </c>
      <c r="F73" s="271">
        <f t="shared" ref="F73:G73" si="29">J72</f>
        <v>0.02</v>
      </c>
      <c r="G73" s="271">
        <f t="shared" si="29"/>
        <v>7.0000000000000007E-2</v>
      </c>
      <c r="H73" s="240"/>
      <c r="I73" s="220">
        <f>MAX(I7,I11,I15,I19,I23,I31,I35,I39,I43,I47,I51,I55,I59,I63)</f>
        <v>0.05</v>
      </c>
      <c r="J73" s="220">
        <f>MAX(J7,J11,J15,J19,J23,J31,J35,J39,J43,J47,J51,J55,J59,J63)</f>
        <v>0.12</v>
      </c>
      <c r="K73" s="220">
        <f>MAX(K7,K11,K15,K19,K23,K31,K35,K39,K43,K47,K51,K55,K59,K63)</f>
        <v>0.14000000000000001</v>
      </c>
    </row>
    <row r="74" spans="1:11">
      <c r="A74" s="240"/>
      <c r="B74" s="240"/>
      <c r="C74" s="240"/>
      <c r="D74" s="240" t="s">
        <v>252</v>
      </c>
      <c r="E74" s="271">
        <f>I73</f>
        <v>0.05</v>
      </c>
      <c r="F74" s="271">
        <f>J73</f>
        <v>0.12</v>
      </c>
      <c r="G74" s="271">
        <f>K73</f>
        <v>0.14000000000000001</v>
      </c>
      <c r="H74" s="240"/>
      <c r="I74" s="240"/>
      <c r="J74" s="240"/>
      <c r="K74" s="240"/>
    </row>
    <row r="76" spans="1:11">
      <c r="E76" s="165"/>
    </row>
    <row r="77" spans="1:11">
      <c r="E77" s="165"/>
      <c r="F77" s="164"/>
    </row>
    <row r="78" spans="1:11">
      <c r="E78" s="165"/>
      <c r="F78" s="164"/>
    </row>
    <row r="79" spans="1:11" ht="45">
      <c r="C79" s="264" t="s">
        <v>100</v>
      </c>
      <c r="D79" s="264" t="s">
        <v>117</v>
      </c>
      <c r="E79" s="264" t="s">
        <v>238</v>
      </c>
      <c r="F79" s="264" t="s">
        <v>239</v>
      </c>
      <c r="G79" s="264" t="s">
        <v>240</v>
      </c>
    </row>
    <row r="80" spans="1:11" ht="15.5">
      <c r="C80" s="265">
        <v>1</v>
      </c>
      <c r="D80" s="266" t="s">
        <v>1</v>
      </c>
      <c r="E80" s="267">
        <f>E65</f>
        <v>13014784.589235127</v>
      </c>
      <c r="F80" s="268">
        <f>1/3</f>
        <v>0.33333333333333331</v>
      </c>
      <c r="G80" s="267">
        <f>E80*F80</f>
        <v>4338261.5297450423</v>
      </c>
    </row>
    <row r="81" spans="3:7" ht="15.5">
      <c r="C81" s="265">
        <v>2</v>
      </c>
      <c r="D81" s="266" t="s">
        <v>2</v>
      </c>
      <c r="E81" s="267">
        <f>F65</f>
        <v>9994574.230060542</v>
      </c>
      <c r="F81" s="268">
        <f t="shared" ref="F81:F82" si="30">1/3</f>
        <v>0.33333333333333331</v>
      </c>
      <c r="G81" s="267">
        <f t="shared" ref="G81:G82" si="31">E81*F81</f>
        <v>3331524.743353514</v>
      </c>
    </row>
    <row r="82" spans="3:7" ht="15.5">
      <c r="C82" s="265">
        <v>3</v>
      </c>
      <c r="D82" s="266" t="s">
        <v>3</v>
      </c>
      <c r="E82" s="267">
        <f>G65</f>
        <v>10287160.603448275</v>
      </c>
      <c r="F82" s="268">
        <f t="shared" si="30"/>
        <v>0.33333333333333331</v>
      </c>
      <c r="G82" s="267">
        <f t="shared" si="31"/>
        <v>3429053.5344827585</v>
      </c>
    </row>
    <row r="83" spans="3:7" ht="15">
      <c r="C83" s="454" t="s">
        <v>246</v>
      </c>
      <c r="D83" s="454"/>
      <c r="E83" s="454"/>
      <c r="F83" s="454"/>
      <c r="G83" s="269">
        <f>SUM(G80:G82)</f>
        <v>11098839.807581315</v>
      </c>
    </row>
    <row r="84" spans="3:7" ht="15">
      <c r="C84" s="454" t="s">
        <v>247</v>
      </c>
      <c r="D84" s="454"/>
      <c r="E84" s="454"/>
      <c r="F84" s="454"/>
      <c r="G84" s="269">
        <f>ROUND(G83,-6)</f>
        <v>11000000</v>
      </c>
    </row>
    <row r="86" spans="3:7">
      <c r="G86" s="142">
        <f>G84*0.85</f>
        <v>9350000</v>
      </c>
    </row>
  </sheetData>
  <autoFilter ref="A1:G73" xr:uid="{00000000-0009-0000-0000-000006000000}"/>
  <mergeCells count="18">
    <mergeCell ref="A25:A28"/>
    <mergeCell ref="A5:A8"/>
    <mergeCell ref="A9:A12"/>
    <mergeCell ref="A13:A16"/>
    <mergeCell ref="A17:A20"/>
    <mergeCell ref="A21:A24"/>
    <mergeCell ref="C84:F84"/>
    <mergeCell ref="A29:A32"/>
    <mergeCell ref="A33:A36"/>
    <mergeCell ref="A37:A40"/>
    <mergeCell ref="A41:A44"/>
    <mergeCell ref="A45:A48"/>
    <mergeCell ref="A49:A52"/>
    <mergeCell ref="A53:A56"/>
    <mergeCell ref="A57:A60"/>
    <mergeCell ref="A61:A64"/>
    <mergeCell ref="E66:G66"/>
    <mergeCell ref="C83:F8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7"/>
  <sheetViews>
    <sheetView zoomScale="110" zoomScaleNormal="110" workbookViewId="0">
      <selection activeCell="D4" sqref="D4"/>
    </sheetView>
  </sheetViews>
  <sheetFormatPr defaultColWidth="8.58203125" defaultRowHeight="15.5"/>
  <cols>
    <col min="1" max="1" width="4.5" style="178" customWidth="1"/>
    <col min="2" max="2" width="17.25" style="178" customWidth="1"/>
    <col min="3" max="3" width="12.4140625" style="178" bestFit="1" customWidth="1"/>
    <col min="4" max="4" width="17.6640625" style="178" bestFit="1" customWidth="1"/>
    <col min="5" max="5" width="10.08203125" style="178" customWidth="1"/>
    <col min="6" max="6" width="14.58203125" style="178" customWidth="1"/>
    <col min="7" max="7" width="44.5" style="79" hidden="1" customWidth="1"/>
    <col min="8" max="8" width="15.58203125" style="79" customWidth="1"/>
    <col min="9" max="16384" width="8.58203125" style="178"/>
  </cols>
  <sheetData>
    <row r="1" spans="1:8" ht="28.5" customHeight="1">
      <c r="A1" s="455" t="s">
        <v>303</v>
      </c>
      <c r="B1" s="455"/>
      <c r="C1" s="455"/>
      <c r="D1" s="455"/>
      <c r="E1" s="455"/>
      <c r="F1" s="455"/>
      <c r="G1" s="455"/>
    </row>
    <row r="2" spans="1:8" ht="59.5" customHeight="1">
      <c r="A2" s="13" t="s">
        <v>100</v>
      </c>
      <c r="B2" s="13" t="s">
        <v>117</v>
      </c>
      <c r="C2" s="13" t="s">
        <v>186</v>
      </c>
      <c r="D2" s="13" t="s">
        <v>118</v>
      </c>
      <c r="E2" s="13" t="s">
        <v>215</v>
      </c>
      <c r="F2" s="13" t="s">
        <v>119</v>
      </c>
      <c r="G2" s="13" t="s">
        <v>302</v>
      </c>
    </row>
    <row r="3" spans="1:8" ht="108" customHeight="1">
      <c r="A3" s="282" t="s">
        <v>301</v>
      </c>
      <c r="B3" s="456" t="s">
        <v>307</v>
      </c>
      <c r="C3" s="456"/>
      <c r="D3" s="456"/>
      <c r="E3" s="456"/>
      <c r="F3" s="283"/>
      <c r="G3" s="459" t="s">
        <v>306</v>
      </c>
      <c r="H3" s="284"/>
    </row>
    <row r="4" spans="1:8" ht="36.5" customHeight="1">
      <c r="A4" s="14" t="s">
        <v>258</v>
      </c>
      <c r="B4" s="15" t="s">
        <v>305</v>
      </c>
      <c r="C4" s="89">
        <f>'TSSS '!C25+'TSSS '!D25</f>
        <v>1509.2</v>
      </c>
      <c r="D4" s="127">
        <v>40000000</v>
      </c>
      <c r="E4" s="171">
        <v>1</v>
      </c>
      <c r="F4" s="221">
        <f>D4*C4*E4</f>
        <v>60368000000</v>
      </c>
      <c r="G4" s="460"/>
      <c r="H4" s="79">
        <f>100000000000/C4</f>
        <v>66260270.341902994</v>
      </c>
    </row>
    <row r="5" spans="1:8" ht="15.5" hidden="1" customHeight="1">
      <c r="A5" s="14" t="s">
        <v>259</v>
      </c>
      <c r="B5" s="15" t="s">
        <v>300</v>
      </c>
      <c r="C5" s="292">
        <f>C4*5</f>
        <v>7546</v>
      </c>
      <c r="D5" s="127">
        <f>ROUND(0.952*8896000,0)</f>
        <v>8468992</v>
      </c>
      <c r="E5" s="171">
        <v>0.7</v>
      </c>
      <c r="F5" s="221">
        <f>D5*C5*E5</f>
        <v>44734909542.399994</v>
      </c>
      <c r="G5" s="460"/>
      <c r="H5" s="79">
        <v>2013</v>
      </c>
    </row>
    <row r="6" spans="1:8" ht="34.5" customHeight="1">
      <c r="A6" s="457" t="s">
        <v>236</v>
      </c>
      <c r="B6" s="457"/>
      <c r="C6" s="457"/>
      <c r="D6" s="457"/>
      <c r="E6" s="457"/>
      <c r="F6" s="222">
        <f>F4+F5</f>
        <v>105102909542.39999</v>
      </c>
      <c r="G6" s="460"/>
      <c r="H6" s="179">
        <f>H4-H5</f>
        <v>66258257.341902994</v>
      </c>
    </row>
    <row r="7" spans="1:8" ht="33" customHeight="1">
      <c r="A7" s="457" t="s">
        <v>237</v>
      </c>
      <c r="B7" s="457"/>
      <c r="C7" s="457"/>
      <c r="D7" s="457"/>
      <c r="E7" s="457"/>
      <c r="F7" s="222">
        <f>ROUND(F6,-6)</f>
        <v>105103000000</v>
      </c>
      <c r="G7" s="461"/>
    </row>
    <row r="8" spans="1:8" ht="15.65" hidden="1" customHeight="1">
      <c r="A8" s="458" t="str">
        <f>"(Bằng chữ: "&amp;'Đọc tiền'!B13&amp;" đồng chẵn ./.)"</f>
        <v>(Bằng chữ: Một trăm lẻ năm tỷ một trăm linh ba triệu đồng chẵn ./.)</v>
      </c>
      <c r="B8" s="458"/>
      <c r="C8" s="458"/>
      <c r="D8" s="458"/>
      <c r="E8" s="458"/>
      <c r="F8" s="458"/>
      <c r="G8" s="290"/>
    </row>
    <row r="9" spans="1:8">
      <c r="G9" s="178"/>
      <c r="H9" s="285">
        <f>H6/40</f>
        <v>1656456.4335475748</v>
      </c>
    </row>
    <row r="10" spans="1:8">
      <c r="B10" s="178">
        <f>2*21</f>
        <v>42</v>
      </c>
      <c r="C10" s="79">
        <f>210000000</f>
        <v>210000000</v>
      </c>
      <c r="D10" s="79">
        <f>B10*C10</f>
        <v>8820000000</v>
      </c>
      <c r="F10" s="221">
        <f>C5*D5</f>
        <v>63907013632</v>
      </c>
      <c r="G10" s="178"/>
      <c r="H10" s="287">
        <f>100%-H9</f>
        <v>-1656455.4335475748</v>
      </c>
    </row>
    <row r="11" spans="1:8">
      <c r="B11" s="178">
        <f>'TSSS '!D25-'TH GTTS'!B10</f>
        <v>1233.8</v>
      </c>
      <c r="C11" s="79">
        <f>C10*0.7</f>
        <v>147000000</v>
      </c>
      <c r="D11" s="79">
        <f>B11*C11</f>
        <v>181368600000</v>
      </c>
      <c r="F11" s="221">
        <f>F10*H9</f>
        <v>1.0585918387953896E+17</v>
      </c>
      <c r="G11" s="178"/>
    </row>
    <row r="12" spans="1:8">
      <c r="C12" s="79"/>
      <c r="D12" s="289">
        <f>D10+D11</f>
        <v>190188600000</v>
      </c>
      <c r="F12" s="221">
        <f>F10-F11</f>
        <v>-1.0585911997252533E+17</v>
      </c>
      <c r="G12" s="178"/>
      <c r="H12" s="291"/>
    </row>
    <row r="13" spans="1:8">
      <c r="C13" s="79"/>
      <c r="D13" s="288">
        <f>D12/194</f>
        <v>980353608.2474227</v>
      </c>
      <c r="G13" s="178"/>
    </row>
    <row r="14" spans="1:8">
      <c r="F14" s="286">
        <v>44166</v>
      </c>
    </row>
    <row r="15" spans="1:8">
      <c r="F15" s="286">
        <v>45962</v>
      </c>
    </row>
    <row r="16" spans="1:8">
      <c r="F16" s="178">
        <f>F15-F14/365</f>
        <v>45840.997260273973</v>
      </c>
    </row>
    <row r="17" spans="6:6">
      <c r="F17" s="285">
        <f>F16/50</f>
        <v>916.81994520547948</v>
      </c>
    </row>
  </sheetData>
  <mergeCells count="6">
    <mergeCell ref="A1:G1"/>
    <mergeCell ref="B3:E3"/>
    <mergeCell ref="A6:E6"/>
    <mergeCell ref="A7:E7"/>
    <mergeCell ref="A8:F8"/>
    <mergeCell ref="G3:G7"/>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3"/>
  <sheetViews>
    <sheetView workbookViewId="0">
      <selection activeCell="B20" sqref="B20"/>
    </sheetView>
  </sheetViews>
  <sheetFormatPr defaultColWidth="8" defaultRowHeight="14"/>
  <cols>
    <col min="1" max="1" width="16.58203125" style="32" customWidth="1"/>
    <col min="2" max="2" width="51.08203125" style="32" bestFit="1" customWidth="1"/>
    <col min="3" max="3" width="5.08203125" style="29" customWidth="1"/>
    <col min="4" max="4" width="5.08203125" style="30" customWidth="1"/>
    <col min="5" max="5" width="5.08203125" style="31" customWidth="1"/>
    <col min="6" max="6" width="5.08203125" style="30" customWidth="1"/>
    <col min="7" max="14" width="5.08203125" style="32" customWidth="1"/>
    <col min="15" max="21" width="8.83203125" style="32" customWidth="1"/>
    <col min="22" max="24" width="8" style="32" bestFit="1" customWidth="1"/>
    <col min="25" max="25" width="10.83203125" style="32" customWidth="1"/>
    <col min="26" max="16384" width="8" style="32"/>
  </cols>
  <sheetData>
    <row r="1" spans="1:14" ht="15.5">
      <c r="A1" s="27" t="s">
        <v>158</v>
      </c>
      <c r="B1" s="28">
        <f>'TH GTTS'!F7</f>
        <v>105103000000</v>
      </c>
    </row>
    <row r="2" spans="1:14" ht="15.5">
      <c r="A2" s="27" t="s">
        <v>159</v>
      </c>
      <c r="B2" s="33" t="str">
        <f>B13</f>
        <v>Một trăm lẻ năm tỷ một trăm linh ba triệu</v>
      </c>
    </row>
    <row r="3" spans="1:14" ht="15.5">
      <c r="A3" s="27" t="s">
        <v>160</v>
      </c>
      <c r="B3" s="34" t="str">
        <f>B13&amp;" đồng./."</f>
        <v>Một trăm lẻ năm tỷ một trăm linh ba triệu đồng./.</v>
      </c>
    </row>
    <row r="7" spans="1:14">
      <c r="A7" s="32" t="s">
        <v>161</v>
      </c>
    </row>
    <row r="8" spans="1:14">
      <c r="A8" s="35">
        <f>B1</f>
        <v>105103000000</v>
      </c>
      <c r="B8" s="36" t="str">
        <f>RIGHT("000000000000"&amp;ROUND(A8,0),12)</f>
        <v>105103000000</v>
      </c>
      <c r="C8" s="37">
        <v>1</v>
      </c>
      <c r="D8" s="37">
        <v>2</v>
      </c>
      <c r="E8" s="37">
        <v>3</v>
      </c>
      <c r="F8" s="38">
        <v>4</v>
      </c>
      <c r="G8" s="38">
        <v>5</v>
      </c>
      <c r="H8" s="38">
        <v>6</v>
      </c>
      <c r="I8" s="39">
        <v>7</v>
      </c>
      <c r="J8" s="39">
        <v>8</v>
      </c>
      <c r="K8" s="39">
        <v>9</v>
      </c>
      <c r="L8" s="40">
        <v>10</v>
      </c>
      <c r="M8" s="40">
        <v>11</v>
      </c>
      <c r="N8" s="40">
        <v>12</v>
      </c>
    </row>
    <row r="9" spans="1:14">
      <c r="A9" s="41"/>
      <c r="B9" s="42"/>
      <c r="C9" s="43">
        <f>VALUE(MID(B8,C8,1))</f>
        <v>1</v>
      </c>
      <c r="D9" s="43">
        <f>VALUE(MID(B8,D8,1))</f>
        <v>0</v>
      </c>
      <c r="E9" s="43">
        <f>VALUE(MID(B8,E8,1))</f>
        <v>5</v>
      </c>
      <c r="F9" s="44">
        <f>VALUE(MID(B8,F8,1))</f>
        <v>1</v>
      </c>
      <c r="G9" s="44">
        <f>VALUE(MID(B8,G8,1))</f>
        <v>0</v>
      </c>
      <c r="H9" s="44">
        <f>VALUE(MID(B8,H8,1))</f>
        <v>3</v>
      </c>
      <c r="I9" s="45">
        <f>VALUE(MID(B8,I8,1))</f>
        <v>0</v>
      </c>
      <c r="J9" s="45">
        <f>VALUE(MID(B8,J8,1))</f>
        <v>0</v>
      </c>
      <c r="K9" s="45">
        <f>VALUE(MID(B8,K8,1))</f>
        <v>0</v>
      </c>
      <c r="L9" s="46">
        <f>VALUE(MID(B8,L8,1))</f>
        <v>0</v>
      </c>
      <c r="M9" s="46">
        <f>VALUE(MID(B8,M8,1))</f>
        <v>0</v>
      </c>
      <c r="N9" s="46">
        <f>VALUE(MID(B8,N8,1))</f>
        <v>0</v>
      </c>
    </row>
    <row r="10" spans="1:14">
      <c r="A10" s="41"/>
      <c r="B10" s="42"/>
      <c r="C10" s="43">
        <f>SUM(C9:C9)</f>
        <v>1</v>
      </c>
      <c r="D10" s="43">
        <f>SUM(C9:D9)</f>
        <v>1</v>
      </c>
      <c r="E10" s="43">
        <f>SUM(C9:E9)</f>
        <v>6</v>
      </c>
      <c r="F10" s="44">
        <f>SUM(F9:F9)</f>
        <v>1</v>
      </c>
      <c r="G10" s="44">
        <f>SUM(F9:G9)</f>
        <v>1</v>
      </c>
      <c r="H10" s="44">
        <f>SUM(F9:H9)</f>
        <v>4</v>
      </c>
      <c r="I10" s="45">
        <f>SUM(I9:I9)</f>
        <v>0</v>
      </c>
      <c r="J10" s="45">
        <f>SUM(I9:J9)</f>
        <v>0</v>
      </c>
      <c r="K10" s="45">
        <f>SUM(I9:K9)</f>
        <v>0</v>
      </c>
      <c r="L10" s="46">
        <f>SUM(L9:L9)</f>
        <v>0</v>
      </c>
      <c r="M10" s="46">
        <f>SUM(L9:M9)</f>
        <v>0</v>
      </c>
      <c r="N10" s="46">
        <f>SUM(L9:N9)</f>
        <v>0</v>
      </c>
    </row>
    <row r="11" spans="1:14">
      <c r="A11" s="47"/>
      <c r="B11" s="42"/>
      <c r="C11" s="48" t="str">
        <f>IF(C9=0,"",CHOOSE(C9,"một","hai","ba","bốn","năm","sáu","bảy","tám","chín"))</f>
        <v>một</v>
      </c>
      <c r="D11" s="48" t="str">
        <f>IF(D9=0,IF(AND(C9&lt;&gt;0,E9&lt;&gt;0),"lẻ",""),CHOOSE(D9,"mười","hai","ba","bốn","năm","sáu","bảy","tám","chín"))</f>
        <v>lẻ</v>
      </c>
      <c r="E11" s="48" t="str">
        <f>IF(E9=0,"",CHOOSE(E9,IF(D9&gt;1,"mốt","một"),"hai","ba","bốn",IF(D9=0,"năm","lăm"),"sáu","bảy","tám","chín"))</f>
        <v>năm</v>
      </c>
      <c r="F11" s="49" t="str">
        <f>IF(F9=0,"",CHOOSE(F9,"một","hai","ba","bốn","năm","sáu","bảy","tám","chín"))</f>
        <v>một</v>
      </c>
      <c r="G11" s="49" t="str">
        <f>IF(G9=0,IF(AND(F9&lt;&gt;0,H9&lt;&gt;0),"linh",""),CHOOSE(G9,"mười","hai","ba","bốn","năm","sáu","bảy","tám","chín"))</f>
        <v>linh</v>
      </c>
      <c r="H11" s="49" t="str">
        <f>IF(H9=0,"",CHOOSE(H9,IF(G9&gt;1,"mốt","một"),"hai","ba","bốn",IF(G9=0,"năm","lăm"),"sáu","bảy","tám","chín"))</f>
        <v>ba</v>
      </c>
      <c r="I11" s="50" t="str">
        <f>IF(I9=0,"",CHOOSE(I9,"một","hai","ba","bốn","năm","sáu","bảy","tám","chín"))</f>
        <v/>
      </c>
      <c r="J11" s="50" t="str">
        <f>IF(J9=0,IF(AND(I9&lt;&gt;0,K9&lt;&gt;0),"lẻ",""),CHOOSE(J9,"mười","hai","ba","bốn","năm","sáu","bảy","tám","chín"))</f>
        <v/>
      </c>
      <c r="K11" s="50" t="str">
        <f>IF(K9=0,"",CHOOSE(K9,IF(J9&gt;1,"mốt","một"),"hai","ba","bốn",IF(J9=0,"năm","lăm"),"sáu","bảy","tám","chín"))</f>
        <v/>
      </c>
      <c r="L11" s="51" t="str">
        <f>IF(L9=0,"",CHOOSE(L9,"một","hai","ba","bốn","năm","sáu","bảy","tám","chín"))</f>
        <v/>
      </c>
      <c r="M11" s="51" t="str">
        <f>IF(M9=0,IF(AND(L9&lt;&gt;0,N9&lt;&gt;0),"lẻ",""),CHOOSE(M9,"mười","hai","ba","bốn","năm","sáu","bảy","tám","chín"))</f>
        <v/>
      </c>
      <c r="N11" s="51" t="str">
        <f>IF(N9=0,"",CHOOSE(N9,IF(M9&gt;1,"mốt","một"),"hai","ba","bốn",IF(M9=0,"năm","lăm"),"sáu","bảy","tám","chín"))</f>
        <v/>
      </c>
    </row>
    <row r="12" spans="1:14">
      <c r="A12" s="41"/>
      <c r="B12" s="42"/>
      <c r="C12" s="52" t="str">
        <f>IF(C9=0,"","trăm")</f>
        <v>trăm</v>
      </c>
      <c r="D12" s="52" t="str">
        <f>IF(D9=0,"",IF(D9=1,"","mươi"))</f>
        <v/>
      </c>
      <c r="E12" s="52" t="str">
        <f>IF(AND(E9=0,E10=0),"","tỷ")</f>
        <v>tỷ</v>
      </c>
      <c r="F12" s="53" t="str">
        <f>IF(F9=0,"","trăm")</f>
        <v>trăm</v>
      </c>
      <c r="G12" s="53" t="str">
        <f>IF(G9=0,"",IF(G9=1,"","mươi"))</f>
        <v/>
      </c>
      <c r="H12" s="53" t="str">
        <f>IF(AND(H9=0,H10=0),"","triệu")</f>
        <v>triệu</v>
      </c>
      <c r="I12" s="54" t="str">
        <f>IF(I9=0,"","trăm")</f>
        <v/>
      </c>
      <c r="J12" s="54" t="str">
        <f>IF(J9=0,"",IF(J9=1,"","mươi"))</f>
        <v/>
      </c>
      <c r="K12" s="54" t="str">
        <f>IF(AND(K9=0,K10=0),"","ngàn")</f>
        <v/>
      </c>
      <c r="L12" s="55" t="str">
        <f>IF(L9=0,"","trăm")</f>
        <v/>
      </c>
      <c r="M12" s="55" t="str">
        <f>IF(M9=0,"",IF(M9=1,"","mươi"))</f>
        <v/>
      </c>
      <c r="N12" s="55"/>
    </row>
    <row r="13" spans="1:14">
      <c r="A13" s="41"/>
      <c r="B13" s="56" t="str">
        <f>UPPER(LEFT(TRIM(IF(A8=0,"không đồng.",C11&amp;" "&amp;C12&amp;" "&amp;D11&amp;" "&amp;D12&amp;" "&amp;E11&amp;" "&amp;E12&amp;" "&amp;F11&amp;" "&amp;F12&amp;" "&amp;G11&amp;" "&amp;G12&amp;" "&amp;H11&amp;" "&amp;H12&amp;" "&amp;I11&amp;" "&amp;I12&amp;" "&amp;J11&amp;" "&amp;J12&amp;" "&amp;K11&amp;" "&amp;K12&amp;" "&amp;L11&amp;" "&amp;L12&amp;" "&amp;M11&amp;" "&amp;M12&amp;" "&amp;N11&amp;" "&amp;N12)),1))&amp;RIGHT(TRIM(IF(A8=0,"không đồng.",C11&amp;" "&amp;C12&amp;" "&amp;D11&amp;" "&amp;D12&amp;" "&amp;E11&amp;" "&amp;E12&amp;" "&amp;F11&amp;" "&amp;F12&amp;" "&amp;G11&amp;" "&amp;G12&amp;" "&amp;H11&amp;" "&amp;H12&amp;" "&amp;I11&amp;" "&amp;I12&amp;" "&amp;J11&amp;" "&amp;J12&amp;" "&amp;K11&amp;" "&amp;K12&amp;" "&amp;L11&amp;" "&amp;L12&amp;" "&amp;M11&amp;" "&amp;M12&amp;" "&amp;N11&amp;" "&amp;N12)),LEN(TRIM(IF(A8=0,"không đồng.",C11&amp;" "&amp;C12&amp;" "&amp;D11&amp;" "&amp;D12&amp;" "&amp;E11&amp;" "&amp;E12&amp;" "&amp;F11&amp;" "&amp;F12&amp;" "&amp;G11&amp;" "&amp;G12&amp;" "&amp;H11&amp;" "&amp;H12&amp;" "&amp;I11&amp;" "&amp;I12&amp;" "&amp;J11&amp;" "&amp;J12&amp;" "&amp;K11&amp;" "&amp;K12&amp;" "&amp;L11&amp;" "&amp;L12&amp;" "&amp;M11&amp;" "&amp;M12&amp;" "&amp;N11&amp;" "&amp;N12)))-1)</f>
        <v>Một trăm lẻ năm tỷ một trăm linh ba triệu</v>
      </c>
      <c r="C13" s="57"/>
      <c r="D13" s="57"/>
      <c r="E13" s="57"/>
      <c r="F13" s="57"/>
      <c r="G13" s="57"/>
      <c r="H13" s="57"/>
      <c r="I13" s="57"/>
      <c r="J13" s="57"/>
      <c r="K13" s="57"/>
      <c r="L13" s="57"/>
      <c r="M13" s="57"/>
      <c r="N13" s="5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9:K56"/>
  <sheetViews>
    <sheetView showGridLines="0" topLeftCell="A29" zoomScale="80" zoomScaleNormal="80" workbookViewId="0">
      <selection activeCell="A11" sqref="A11:C31"/>
    </sheetView>
  </sheetViews>
  <sheetFormatPr defaultRowHeight="14"/>
  <cols>
    <col min="1" max="1" width="5.08203125" style="128" customWidth="1"/>
    <col min="2" max="2" width="26.08203125" style="181" customWidth="1"/>
    <col min="3" max="3" width="57.33203125" style="129" customWidth="1"/>
    <col min="4" max="4" width="13.08203125" style="128" customWidth="1"/>
    <col min="5" max="5" width="16.83203125" style="128" customWidth="1"/>
    <col min="6" max="6" width="8.58203125" style="128" bestFit="1" customWidth="1"/>
    <col min="7" max="7" width="6.58203125" style="128" customWidth="1"/>
    <col min="8" max="8" width="13.5" style="128" bestFit="1" customWidth="1"/>
    <col min="9" max="9" width="12" style="128" customWidth="1"/>
    <col min="10" max="252" width="8.58203125" style="128"/>
    <col min="253" max="253" width="9.83203125" style="128" bestFit="1" customWidth="1"/>
    <col min="254" max="254" width="8.33203125" style="128" bestFit="1" customWidth="1"/>
    <col min="255" max="255" width="18.58203125" style="128" customWidth="1"/>
    <col min="256" max="256" width="17.08203125" style="128" customWidth="1"/>
    <col min="257" max="257" width="14.58203125" style="128" bestFit="1" customWidth="1"/>
    <col min="258" max="258" width="8.58203125" style="128"/>
    <col min="259" max="259" width="3.83203125" style="128" customWidth="1"/>
    <col min="260" max="260" width="14.5" style="128" bestFit="1" customWidth="1"/>
    <col min="261" max="261" width="7.08203125" style="128" bestFit="1" customWidth="1"/>
    <col min="262" max="262" width="8.58203125" style="128" bestFit="1" customWidth="1"/>
    <col min="263" max="263" width="5" style="128" bestFit="1" customWidth="1"/>
    <col min="264" max="264" width="13.5" style="128" bestFit="1" customWidth="1"/>
    <col min="265" max="265" width="12" style="128" customWidth="1"/>
    <col min="266" max="508" width="8.58203125" style="128"/>
    <col min="509" max="509" width="9.83203125" style="128" bestFit="1" customWidth="1"/>
    <col min="510" max="510" width="8.33203125" style="128" bestFit="1" customWidth="1"/>
    <col min="511" max="511" width="18.58203125" style="128" customWidth="1"/>
    <col min="512" max="512" width="17.08203125" style="128" customWidth="1"/>
    <col min="513" max="513" width="14.58203125" style="128" bestFit="1" customWidth="1"/>
    <col min="514" max="514" width="8.58203125" style="128"/>
    <col min="515" max="515" width="3.83203125" style="128" customWidth="1"/>
    <col min="516" max="516" width="14.5" style="128" bestFit="1" customWidth="1"/>
    <col min="517" max="517" width="7.08203125" style="128" bestFit="1" customWidth="1"/>
    <col min="518" max="518" width="8.58203125" style="128" bestFit="1" customWidth="1"/>
    <col min="519" max="519" width="5" style="128" bestFit="1" customWidth="1"/>
    <col min="520" max="520" width="13.5" style="128" bestFit="1" customWidth="1"/>
    <col min="521" max="521" width="12" style="128" customWidth="1"/>
    <col min="522" max="764" width="8.58203125" style="128"/>
    <col min="765" max="765" width="9.83203125" style="128" bestFit="1" customWidth="1"/>
    <col min="766" max="766" width="8.33203125" style="128" bestFit="1" customWidth="1"/>
    <col min="767" max="767" width="18.58203125" style="128" customWidth="1"/>
    <col min="768" max="768" width="17.08203125" style="128" customWidth="1"/>
    <col min="769" max="769" width="14.58203125" style="128" bestFit="1" customWidth="1"/>
    <col min="770" max="770" width="8.58203125" style="128"/>
    <col min="771" max="771" width="3.83203125" style="128" customWidth="1"/>
    <col min="772" max="772" width="14.5" style="128" bestFit="1" customWidth="1"/>
    <col min="773" max="773" width="7.08203125" style="128" bestFit="1" customWidth="1"/>
    <col min="774" max="774" width="8.58203125" style="128" bestFit="1" customWidth="1"/>
    <col min="775" max="775" width="5" style="128" bestFit="1" customWidth="1"/>
    <col min="776" max="776" width="13.5" style="128" bestFit="1" customWidth="1"/>
    <col min="777" max="777" width="12" style="128" customWidth="1"/>
    <col min="778" max="1020" width="8.58203125" style="128"/>
    <col min="1021" max="1021" width="9.83203125" style="128" bestFit="1" customWidth="1"/>
    <col min="1022" max="1022" width="8.33203125" style="128" bestFit="1" customWidth="1"/>
    <col min="1023" max="1023" width="18.58203125" style="128" customWidth="1"/>
    <col min="1024" max="1024" width="17.08203125" style="128" customWidth="1"/>
    <col min="1025" max="1025" width="14.58203125" style="128" bestFit="1" customWidth="1"/>
    <col min="1026" max="1026" width="8.58203125" style="128"/>
    <col min="1027" max="1027" width="3.83203125" style="128" customWidth="1"/>
    <col min="1028" max="1028" width="14.5" style="128" bestFit="1" customWidth="1"/>
    <col min="1029" max="1029" width="7.08203125" style="128" bestFit="1" customWidth="1"/>
    <col min="1030" max="1030" width="8.58203125" style="128" bestFit="1" customWidth="1"/>
    <col min="1031" max="1031" width="5" style="128" bestFit="1" customWidth="1"/>
    <col min="1032" max="1032" width="13.5" style="128" bestFit="1" customWidth="1"/>
    <col min="1033" max="1033" width="12" style="128" customWidth="1"/>
    <col min="1034" max="1276" width="8.58203125" style="128"/>
    <col min="1277" max="1277" width="9.83203125" style="128" bestFit="1" customWidth="1"/>
    <col min="1278" max="1278" width="8.33203125" style="128" bestFit="1" customWidth="1"/>
    <col min="1279" max="1279" width="18.58203125" style="128" customWidth="1"/>
    <col min="1280" max="1280" width="17.08203125" style="128" customWidth="1"/>
    <col min="1281" max="1281" width="14.58203125" style="128" bestFit="1" customWidth="1"/>
    <col min="1282" max="1282" width="8.58203125" style="128"/>
    <col min="1283" max="1283" width="3.83203125" style="128" customWidth="1"/>
    <col min="1284" max="1284" width="14.5" style="128" bestFit="1" customWidth="1"/>
    <col min="1285" max="1285" width="7.08203125" style="128" bestFit="1" customWidth="1"/>
    <col min="1286" max="1286" width="8.58203125" style="128" bestFit="1" customWidth="1"/>
    <col min="1287" max="1287" width="5" style="128" bestFit="1" customWidth="1"/>
    <col min="1288" max="1288" width="13.5" style="128" bestFit="1" customWidth="1"/>
    <col min="1289" max="1289" width="12" style="128" customWidth="1"/>
    <col min="1290" max="1532" width="8.58203125" style="128"/>
    <col min="1533" max="1533" width="9.83203125" style="128" bestFit="1" customWidth="1"/>
    <col min="1534" max="1534" width="8.33203125" style="128" bestFit="1" customWidth="1"/>
    <col min="1535" max="1535" width="18.58203125" style="128" customWidth="1"/>
    <col min="1536" max="1536" width="17.08203125" style="128" customWidth="1"/>
    <col min="1537" max="1537" width="14.58203125" style="128" bestFit="1" customWidth="1"/>
    <col min="1538" max="1538" width="8.58203125" style="128"/>
    <col min="1539" max="1539" width="3.83203125" style="128" customWidth="1"/>
    <col min="1540" max="1540" width="14.5" style="128" bestFit="1" customWidth="1"/>
    <col min="1541" max="1541" width="7.08203125" style="128" bestFit="1" customWidth="1"/>
    <col min="1542" max="1542" width="8.58203125" style="128" bestFit="1" customWidth="1"/>
    <col min="1543" max="1543" width="5" style="128" bestFit="1" customWidth="1"/>
    <col min="1544" max="1544" width="13.5" style="128" bestFit="1" customWidth="1"/>
    <col min="1545" max="1545" width="12" style="128" customWidth="1"/>
    <col min="1546" max="1788" width="8.58203125" style="128"/>
    <col min="1789" max="1789" width="9.83203125" style="128" bestFit="1" customWidth="1"/>
    <col min="1790" max="1790" width="8.33203125" style="128" bestFit="1" customWidth="1"/>
    <col min="1791" max="1791" width="18.58203125" style="128" customWidth="1"/>
    <col min="1792" max="1792" width="17.08203125" style="128" customWidth="1"/>
    <col min="1793" max="1793" width="14.58203125" style="128" bestFit="1" customWidth="1"/>
    <col min="1794" max="1794" width="8.58203125" style="128"/>
    <col min="1795" max="1795" width="3.83203125" style="128" customWidth="1"/>
    <col min="1796" max="1796" width="14.5" style="128" bestFit="1" customWidth="1"/>
    <col min="1797" max="1797" width="7.08203125" style="128" bestFit="1" customWidth="1"/>
    <col min="1798" max="1798" width="8.58203125" style="128" bestFit="1" customWidth="1"/>
    <col min="1799" max="1799" width="5" style="128" bestFit="1" customWidth="1"/>
    <col min="1800" max="1800" width="13.5" style="128" bestFit="1" customWidth="1"/>
    <col min="1801" max="1801" width="12" style="128" customWidth="1"/>
    <col min="1802" max="2044" width="8.58203125" style="128"/>
    <col min="2045" max="2045" width="9.83203125" style="128" bestFit="1" customWidth="1"/>
    <col min="2046" max="2046" width="8.33203125" style="128" bestFit="1" customWidth="1"/>
    <col min="2047" max="2047" width="18.58203125" style="128" customWidth="1"/>
    <col min="2048" max="2048" width="17.08203125" style="128" customWidth="1"/>
    <col min="2049" max="2049" width="14.58203125" style="128" bestFit="1" customWidth="1"/>
    <col min="2050" max="2050" width="8.58203125" style="128"/>
    <col min="2051" max="2051" width="3.83203125" style="128" customWidth="1"/>
    <col min="2052" max="2052" width="14.5" style="128" bestFit="1" customWidth="1"/>
    <col min="2053" max="2053" width="7.08203125" style="128" bestFit="1" customWidth="1"/>
    <col min="2054" max="2054" width="8.58203125" style="128" bestFit="1" customWidth="1"/>
    <col min="2055" max="2055" width="5" style="128" bestFit="1" customWidth="1"/>
    <col min="2056" max="2056" width="13.5" style="128" bestFit="1" customWidth="1"/>
    <col min="2057" max="2057" width="12" style="128" customWidth="1"/>
    <col min="2058" max="2300" width="8.58203125" style="128"/>
    <col min="2301" max="2301" width="9.83203125" style="128" bestFit="1" customWidth="1"/>
    <col min="2302" max="2302" width="8.33203125" style="128" bestFit="1" customWidth="1"/>
    <col min="2303" max="2303" width="18.58203125" style="128" customWidth="1"/>
    <col min="2304" max="2304" width="17.08203125" style="128" customWidth="1"/>
    <col min="2305" max="2305" width="14.58203125" style="128" bestFit="1" customWidth="1"/>
    <col min="2306" max="2306" width="8.58203125" style="128"/>
    <col min="2307" max="2307" width="3.83203125" style="128" customWidth="1"/>
    <col min="2308" max="2308" width="14.5" style="128" bestFit="1" customWidth="1"/>
    <col min="2309" max="2309" width="7.08203125" style="128" bestFit="1" customWidth="1"/>
    <col min="2310" max="2310" width="8.58203125" style="128" bestFit="1" customWidth="1"/>
    <col min="2311" max="2311" width="5" style="128" bestFit="1" customWidth="1"/>
    <col min="2312" max="2312" width="13.5" style="128" bestFit="1" customWidth="1"/>
    <col min="2313" max="2313" width="12" style="128" customWidth="1"/>
    <col min="2314" max="2556" width="8.58203125" style="128"/>
    <col min="2557" max="2557" width="9.83203125" style="128" bestFit="1" customWidth="1"/>
    <col min="2558" max="2558" width="8.33203125" style="128" bestFit="1" customWidth="1"/>
    <col min="2559" max="2559" width="18.58203125" style="128" customWidth="1"/>
    <col min="2560" max="2560" width="17.08203125" style="128" customWidth="1"/>
    <col min="2561" max="2561" width="14.58203125" style="128" bestFit="1" customWidth="1"/>
    <col min="2562" max="2562" width="8.58203125" style="128"/>
    <col min="2563" max="2563" width="3.83203125" style="128" customWidth="1"/>
    <col min="2564" max="2564" width="14.5" style="128" bestFit="1" customWidth="1"/>
    <col min="2565" max="2565" width="7.08203125" style="128" bestFit="1" customWidth="1"/>
    <col min="2566" max="2566" width="8.58203125" style="128" bestFit="1" customWidth="1"/>
    <col min="2567" max="2567" width="5" style="128" bestFit="1" customWidth="1"/>
    <col min="2568" max="2568" width="13.5" style="128" bestFit="1" customWidth="1"/>
    <col min="2569" max="2569" width="12" style="128" customWidth="1"/>
    <col min="2570" max="2812" width="8.58203125" style="128"/>
    <col min="2813" max="2813" width="9.83203125" style="128" bestFit="1" customWidth="1"/>
    <col min="2814" max="2814" width="8.33203125" style="128" bestFit="1" customWidth="1"/>
    <col min="2815" max="2815" width="18.58203125" style="128" customWidth="1"/>
    <col min="2816" max="2816" width="17.08203125" style="128" customWidth="1"/>
    <col min="2817" max="2817" width="14.58203125" style="128" bestFit="1" customWidth="1"/>
    <col min="2818" max="2818" width="8.58203125" style="128"/>
    <col min="2819" max="2819" width="3.83203125" style="128" customWidth="1"/>
    <col min="2820" max="2820" width="14.5" style="128" bestFit="1" customWidth="1"/>
    <col min="2821" max="2821" width="7.08203125" style="128" bestFit="1" customWidth="1"/>
    <col min="2822" max="2822" width="8.58203125" style="128" bestFit="1" customWidth="1"/>
    <col min="2823" max="2823" width="5" style="128" bestFit="1" customWidth="1"/>
    <col min="2824" max="2824" width="13.5" style="128" bestFit="1" customWidth="1"/>
    <col min="2825" max="2825" width="12" style="128" customWidth="1"/>
    <col min="2826" max="3068" width="8.58203125" style="128"/>
    <col min="3069" max="3069" width="9.83203125" style="128" bestFit="1" customWidth="1"/>
    <col min="3070" max="3070" width="8.33203125" style="128" bestFit="1" customWidth="1"/>
    <col min="3071" max="3071" width="18.58203125" style="128" customWidth="1"/>
    <col min="3072" max="3072" width="17.08203125" style="128" customWidth="1"/>
    <col min="3073" max="3073" width="14.58203125" style="128" bestFit="1" customWidth="1"/>
    <col min="3074" max="3074" width="8.58203125" style="128"/>
    <col min="3075" max="3075" width="3.83203125" style="128" customWidth="1"/>
    <col min="3076" max="3076" width="14.5" style="128" bestFit="1" customWidth="1"/>
    <col min="3077" max="3077" width="7.08203125" style="128" bestFit="1" customWidth="1"/>
    <col min="3078" max="3078" width="8.58203125" style="128" bestFit="1" customWidth="1"/>
    <col min="3079" max="3079" width="5" style="128" bestFit="1" customWidth="1"/>
    <col min="3080" max="3080" width="13.5" style="128" bestFit="1" customWidth="1"/>
    <col min="3081" max="3081" width="12" style="128" customWidth="1"/>
    <col min="3082" max="3324" width="8.58203125" style="128"/>
    <col min="3325" max="3325" width="9.83203125" style="128" bestFit="1" customWidth="1"/>
    <col min="3326" max="3326" width="8.33203125" style="128" bestFit="1" customWidth="1"/>
    <col min="3327" max="3327" width="18.58203125" style="128" customWidth="1"/>
    <col min="3328" max="3328" width="17.08203125" style="128" customWidth="1"/>
    <col min="3329" max="3329" width="14.58203125" style="128" bestFit="1" customWidth="1"/>
    <col min="3330" max="3330" width="8.58203125" style="128"/>
    <col min="3331" max="3331" width="3.83203125" style="128" customWidth="1"/>
    <col min="3332" max="3332" width="14.5" style="128" bestFit="1" customWidth="1"/>
    <col min="3333" max="3333" width="7.08203125" style="128" bestFit="1" customWidth="1"/>
    <col min="3334" max="3334" width="8.58203125" style="128" bestFit="1" customWidth="1"/>
    <col min="3335" max="3335" width="5" style="128" bestFit="1" customWidth="1"/>
    <col min="3336" max="3336" width="13.5" style="128" bestFit="1" customWidth="1"/>
    <col min="3337" max="3337" width="12" style="128" customWidth="1"/>
    <col min="3338" max="3580" width="8.58203125" style="128"/>
    <col min="3581" max="3581" width="9.83203125" style="128" bestFit="1" customWidth="1"/>
    <col min="3582" max="3582" width="8.33203125" style="128" bestFit="1" customWidth="1"/>
    <col min="3583" max="3583" width="18.58203125" style="128" customWidth="1"/>
    <col min="3584" max="3584" width="17.08203125" style="128" customWidth="1"/>
    <col min="3585" max="3585" width="14.58203125" style="128" bestFit="1" customWidth="1"/>
    <col min="3586" max="3586" width="8.58203125" style="128"/>
    <col min="3587" max="3587" width="3.83203125" style="128" customWidth="1"/>
    <col min="3588" max="3588" width="14.5" style="128" bestFit="1" customWidth="1"/>
    <col min="3589" max="3589" width="7.08203125" style="128" bestFit="1" customWidth="1"/>
    <col min="3590" max="3590" width="8.58203125" style="128" bestFit="1" customWidth="1"/>
    <col min="3591" max="3591" width="5" style="128" bestFit="1" customWidth="1"/>
    <col min="3592" max="3592" width="13.5" style="128" bestFit="1" customWidth="1"/>
    <col min="3593" max="3593" width="12" style="128" customWidth="1"/>
    <col min="3594" max="3836" width="8.58203125" style="128"/>
    <col min="3837" max="3837" width="9.83203125" style="128" bestFit="1" customWidth="1"/>
    <col min="3838" max="3838" width="8.33203125" style="128" bestFit="1" customWidth="1"/>
    <col min="3839" max="3839" width="18.58203125" style="128" customWidth="1"/>
    <col min="3840" max="3840" width="17.08203125" style="128" customWidth="1"/>
    <col min="3841" max="3841" width="14.58203125" style="128" bestFit="1" customWidth="1"/>
    <col min="3842" max="3842" width="8.58203125" style="128"/>
    <col min="3843" max="3843" width="3.83203125" style="128" customWidth="1"/>
    <col min="3844" max="3844" width="14.5" style="128" bestFit="1" customWidth="1"/>
    <col min="3845" max="3845" width="7.08203125" style="128" bestFit="1" customWidth="1"/>
    <col min="3846" max="3846" width="8.58203125" style="128" bestFit="1" customWidth="1"/>
    <col min="3847" max="3847" width="5" style="128" bestFit="1" customWidth="1"/>
    <col min="3848" max="3848" width="13.5" style="128" bestFit="1" customWidth="1"/>
    <col min="3849" max="3849" width="12" style="128" customWidth="1"/>
    <col min="3850" max="4092" width="8.58203125" style="128"/>
    <col min="4093" max="4093" width="9.83203125" style="128" bestFit="1" customWidth="1"/>
    <col min="4094" max="4094" width="8.33203125" style="128" bestFit="1" customWidth="1"/>
    <col min="4095" max="4095" width="18.58203125" style="128" customWidth="1"/>
    <col min="4096" max="4096" width="17.08203125" style="128" customWidth="1"/>
    <col min="4097" max="4097" width="14.58203125" style="128" bestFit="1" customWidth="1"/>
    <col min="4098" max="4098" width="8.58203125" style="128"/>
    <col min="4099" max="4099" width="3.83203125" style="128" customWidth="1"/>
    <col min="4100" max="4100" width="14.5" style="128" bestFit="1" customWidth="1"/>
    <col min="4101" max="4101" width="7.08203125" style="128" bestFit="1" customWidth="1"/>
    <col min="4102" max="4102" width="8.58203125" style="128" bestFit="1" customWidth="1"/>
    <col min="4103" max="4103" width="5" style="128" bestFit="1" customWidth="1"/>
    <col min="4104" max="4104" width="13.5" style="128" bestFit="1" customWidth="1"/>
    <col min="4105" max="4105" width="12" style="128" customWidth="1"/>
    <col min="4106" max="4348" width="8.58203125" style="128"/>
    <col min="4349" max="4349" width="9.83203125" style="128" bestFit="1" customWidth="1"/>
    <col min="4350" max="4350" width="8.33203125" style="128" bestFit="1" customWidth="1"/>
    <col min="4351" max="4351" width="18.58203125" style="128" customWidth="1"/>
    <col min="4352" max="4352" width="17.08203125" style="128" customWidth="1"/>
    <col min="4353" max="4353" width="14.58203125" style="128" bestFit="1" customWidth="1"/>
    <col min="4354" max="4354" width="8.58203125" style="128"/>
    <col min="4355" max="4355" width="3.83203125" style="128" customWidth="1"/>
    <col min="4356" max="4356" width="14.5" style="128" bestFit="1" customWidth="1"/>
    <col min="4357" max="4357" width="7.08203125" style="128" bestFit="1" customWidth="1"/>
    <col min="4358" max="4358" width="8.58203125" style="128" bestFit="1" customWidth="1"/>
    <col min="4359" max="4359" width="5" style="128" bestFit="1" customWidth="1"/>
    <col min="4360" max="4360" width="13.5" style="128" bestFit="1" customWidth="1"/>
    <col min="4361" max="4361" width="12" style="128" customWidth="1"/>
    <col min="4362" max="4604" width="8.58203125" style="128"/>
    <col min="4605" max="4605" width="9.83203125" style="128" bestFit="1" customWidth="1"/>
    <col min="4606" max="4606" width="8.33203125" style="128" bestFit="1" customWidth="1"/>
    <col min="4607" max="4607" width="18.58203125" style="128" customWidth="1"/>
    <col min="4608" max="4608" width="17.08203125" style="128" customWidth="1"/>
    <col min="4609" max="4609" width="14.58203125" style="128" bestFit="1" customWidth="1"/>
    <col min="4610" max="4610" width="8.58203125" style="128"/>
    <col min="4611" max="4611" width="3.83203125" style="128" customWidth="1"/>
    <col min="4612" max="4612" width="14.5" style="128" bestFit="1" customWidth="1"/>
    <col min="4613" max="4613" width="7.08203125" style="128" bestFit="1" customWidth="1"/>
    <col min="4614" max="4614" width="8.58203125" style="128" bestFit="1" customWidth="1"/>
    <col min="4615" max="4615" width="5" style="128" bestFit="1" customWidth="1"/>
    <col min="4616" max="4616" width="13.5" style="128" bestFit="1" customWidth="1"/>
    <col min="4617" max="4617" width="12" style="128" customWidth="1"/>
    <col min="4618" max="4860" width="8.58203125" style="128"/>
    <col min="4861" max="4861" width="9.83203125" style="128" bestFit="1" customWidth="1"/>
    <col min="4862" max="4862" width="8.33203125" style="128" bestFit="1" customWidth="1"/>
    <col min="4863" max="4863" width="18.58203125" style="128" customWidth="1"/>
    <col min="4864" max="4864" width="17.08203125" style="128" customWidth="1"/>
    <col min="4865" max="4865" width="14.58203125" style="128" bestFit="1" customWidth="1"/>
    <col min="4866" max="4866" width="8.58203125" style="128"/>
    <col min="4867" max="4867" width="3.83203125" style="128" customWidth="1"/>
    <col min="4868" max="4868" width="14.5" style="128" bestFit="1" customWidth="1"/>
    <col min="4869" max="4869" width="7.08203125" style="128" bestFit="1" customWidth="1"/>
    <col min="4870" max="4870" width="8.58203125" style="128" bestFit="1" customWidth="1"/>
    <col min="4871" max="4871" width="5" style="128" bestFit="1" customWidth="1"/>
    <col min="4872" max="4872" width="13.5" style="128" bestFit="1" customWidth="1"/>
    <col min="4873" max="4873" width="12" style="128" customWidth="1"/>
    <col min="4874" max="5116" width="8.58203125" style="128"/>
    <col min="5117" max="5117" width="9.83203125" style="128" bestFit="1" customWidth="1"/>
    <col min="5118" max="5118" width="8.33203125" style="128" bestFit="1" customWidth="1"/>
    <col min="5119" max="5119" width="18.58203125" style="128" customWidth="1"/>
    <col min="5120" max="5120" width="17.08203125" style="128" customWidth="1"/>
    <col min="5121" max="5121" width="14.58203125" style="128" bestFit="1" customWidth="1"/>
    <col min="5122" max="5122" width="8.58203125" style="128"/>
    <col min="5123" max="5123" width="3.83203125" style="128" customWidth="1"/>
    <col min="5124" max="5124" width="14.5" style="128" bestFit="1" customWidth="1"/>
    <col min="5125" max="5125" width="7.08203125" style="128" bestFit="1" customWidth="1"/>
    <col min="5126" max="5126" width="8.58203125" style="128" bestFit="1" customWidth="1"/>
    <col min="5127" max="5127" width="5" style="128" bestFit="1" customWidth="1"/>
    <col min="5128" max="5128" width="13.5" style="128" bestFit="1" customWidth="1"/>
    <col min="5129" max="5129" width="12" style="128" customWidth="1"/>
    <col min="5130" max="5372" width="8.58203125" style="128"/>
    <col min="5373" max="5373" width="9.83203125" style="128" bestFit="1" customWidth="1"/>
    <col min="5374" max="5374" width="8.33203125" style="128" bestFit="1" customWidth="1"/>
    <col min="5375" max="5375" width="18.58203125" style="128" customWidth="1"/>
    <col min="5376" max="5376" width="17.08203125" style="128" customWidth="1"/>
    <col min="5377" max="5377" width="14.58203125" style="128" bestFit="1" customWidth="1"/>
    <col min="5378" max="5378" width="8.58203125" style="128"/>
    <col min="5379" max="5379" width="3.83203125" style="128" customWidth="1"/>
    <col min="5380" max="5380" width="14.5" style="128" bestFit="1" customWidth="1"/>
    <col min="5381" max="5381" width="7.08203125" style="128" bestFit="1" customWidth="1"/>
    <col min="5382" max="5382" width="8.58203125" style="128" bestFit="1" customWidth="1"/>
    <col min="5383" max="5383" width="5" style="128" bestFit="1" customWidth="1"/>
    <col min="5384" max="5384" width="13.5" style="128" bestFit="1" customWidth="1"/>
    <col min="5385" max="5385" width="12" style="128" customWidth="1"/>
    <col min="5386" max="5628" width="8.58203125" style="128"/>
    <col min="5629" max="5629" width="9.83203125" style="128" bestFit="1" customWidth="1"/>
    <col min="5630" max="5630" width="8.33203125" style="128" bestFit="1" customWidth="1"/>
    <col min="5631" max="5631" width="18.58203125" style="128" customWidth="1"/>
    <col min="5632" max="5632" width="17.08203125" style="128" customWidth="1"/>
    <col min="5633" max="5633" width="14.58203125" style="128" bestFit="1" customWidth="1"/>
    <col min="5634" max="5634" width="8.58203125" style="128"/>
    <col min="5635" max="5635" width="3.83203125" style="128" customWidth="1"/>
    <col min="5636" max="5636" width="14.5" style="128" bestFit="1" customWidth="1"/>
    <col min="5637" max="5637" width="7.08203125" style="128" bestFit="1" customWidth="1"/>
    <col min="5638" max="5638" width="8.58203125" style="128" bestFit="1" customWidth="1"/>
    <col min="5639" max="5639" width="5" style="128" bestFit="1" customWidth="1"/>
    <col min="5640" max="5640" width="13.5" style="128" bestFit="1" customWidth="1"/>
    <col min="5641" max="5641" width="12" style="128" customWidth="1"/>
    <col min="5642" max="5884" width="8.58203125" style="128"/>
    <col min="5885" max="5885" width="9.83203125" style="128" bestFit="1" customWidth="1"/>
    <col min="5886" max="5886" width="8.33203125" style="128" bestFit="1" customWidth="1"/>
    <col min="5887" max="5887" width="18.58203125" style="128" customWidth="1"/>
    <col min="5888" max="5888" width="17.08203125" style="128" customWidth="1"/>
    <col min="5889" max="5889" width="14.58203125" style="128" bestFit="1" customWidth="1"/>
    <col min="5890" max="5890" width="8.58203125" style="128"/>
    <col min="5891" max="5891" width="3.83203125" style="128" customWidth="1"/>
    <col min="5892" max="5892" width="14.5" style="128" bestFit="1" customWidth="1"/>
    <col min="5893" max="5893" width="7.08203125" style="128" bestFit="1" customWidth="1"/>
    <col min="5894" max="5894" width="8.58203125" style="128" bestFit="1" customWidth="1"/>
    <col min="5895" max="5895" width="5" style="128" bestFit="1" customWidth="1"/>
    <col min="5896" max="5896" width="13.5" style="128" bestFit="1" customWidth="1"/>
    <col min="5897" max="5897" width="12" style="128" customWidth="1"/>
    <col min="5898" max="6140" width="8.58203125" style="128"/>
    <col min="6141" max="6141" width="9.83203125" style="128" bestFit="1" customWidth="1"/>
    <col min="6142" max="6142" width="8.33203125" style="128" bestFit="1" customWidth="1"/>
    <col min="6143" max="6143" width="18.58203125" style="128" customWidth="1"/>
    <col min="6144" max="6144" width="17.08203125" style="128" customWidth="1"/>
    <col min="6145" max="6145" width="14.58203125" style="128" bestFit="1" customWidth="1"/>
    <col min="6146" max="6146" width="8.58203125" style="128"/>
    <col min="6147" max="6147" width="3.83203125" style="128" customWidth="1"/>
    <col min="6148" max="6148" width="14.5" style="128" bestFit="1" customWidth="1"/>
    <col min="6149" max="6149" width="7.08203125" style="128" bestFit="1" customWidth="1"/>
    <col min="6150" max="6150" width="8.58203125" style="128" bestFit="1" customWidth="1"/>
    <col min="6151" max="6151" width="5" style="128" bestFit="1" customWidth="1"/>
    <col min="6152" max="6152" width="13.5" style="128" bestFit="1" customWidth="1"/>
    <col min="6153" max="6153" width="12" style="128" customWidth="1"/>
    <col min="6154" max="6396" width="8.58203125" style="128"/>
    <col min="6397" max="6397" width="9.83203125" style="128" bestFit="1" customWidth="1"/>
    <col min="6398" max="6398" width="8.33203125" style="128" bestFit="1" customWidth="1"/>
    <col min="6399" max="6399" width="18.58203125" style="128" customWidth="1"/>
    <col min="6400" max="6400" width="17.08203125" style="128" customWidth="1"/>
    <col min="6401" max="6401" width="14.58203125" style="128" bestFit="1" customWidth="1"/>
    <col min="6402" max="6402" width="8.58203125" style="128"/>
    <col min="6403" max="6403" width="3.83203125" style="128" customWidth="1"/>
    <col min="6404" max="6404" width="14.5" style="128" bestFit="1" customWidth="1"/>
    <col min="6405" max="6405" width="7.08203125" style="128" bestFit="1" customWidth="1"/>
    <col min="6406" max="6406" width="8.58203125" style="128" bestFit="1" customWidth="1"/>
    <col min="6407" max="6407" width="5" style="128" bestFit="1" customWidth="1"/>
    <col min="6408" max="6408" width="13.5" style="128" bestFit="1" customWidth="1"/>
    <col min="6409" max="6409" width="12" style="128" customWidth="1"/>
    <col min="6410" max="6652" width="8.58203125" style="128"/>
    <col min="6653" max="6653" width="9.83203125" style="128" bestFit="1" customWidth="1"/>
    <col min="6654" max="6654" width="8.33203125" style="128" bestFit="1" customWidth="1"/>
    <col min="6655" max="6655" width="18.58203125" style="128" customWidth="1"/>
    <col min="6656" max="6656" width="17.08203125" style="128" customWidth="1"/>
    <col min="6657" max="6657" width="14.58203125" style="128" bestFit="1" customWidth="1"/>
    <col min="6658" max="6658" width="8.58203125" style="128"/>
    <col min="6659" max="6659" width="3.83203125" style="128" customWidth="1"/>
    <col min="6660" max="6660" width="14.5" style="128" bestFit="1" customWidth="1"/>
    <col min="6661" max="6661" width="7.08203125" style="128" bestFit="1" customWidth="1"/>
    <col min="6662" max="6662" width="8.58203125" style="128" bestFit="1" customWidth="1"/>
    <col min="6663" max="6663" width="5" style="128" bestFit="1" customWidth="1"/>
    <col min="6664" max="6664" width="13.5" style="128" bestFit="1" customWidth="1"/>
    <col min="6665" max="6665" width="12" style="128" customWidth="1"/>
    <col min="6666" max="6908" width="8.58203125" style="128"/>
    <col min="6909" max="6909" width="9.83203125" style="128" bestFit="1" customWidth="1"/>
    <col min="6910" max="6910" width="8.33203125" style="128" bestFit="1" customWidth="1"/>
    <col min="6911" max="6911" width="18.58203125" style="128" customWidth="1"/>
    <col min="6912" max="6912" width="17.08203125" style="128" customWidth="1"/>
    <col min="6913" max="6913" width="14.58203125" style="128" bestFit="1" customWidth="1"/>
    <col min="6914" max="6914" width="8.58203125" style="128"/>
    <col min="6915" max="6915" width="3.83203125" style="128" customWidth="1"/>
    <col min="6916" max="6916" width="14.5" style="128" bestFit="1" customWidth="1"/>
    <col min="6917" max="6917" width="7.08203125" style="128" bestFit="1" customWidth="1"/>
    <col min="6918" max="6918" width="8.58203125" style="128" bestFit="1" customWidth="1"/>
    <col min="6919" max="6919" width="5" style="128" bestFit="1" customWidth="1"/>
    <col min="6920" max="6920" width="13.5" style="128" bestFit="1" customWidth="1"/>
    <col min="6921" max="6921" width="12" style="128" customWidth="1"/>
    <col min="6922" max="7164" width="8.58203125" style="128"/>
    <col min="7165" max="7165" width="9.83203125" style="128" bestFit="1" customWidth="1"/>
    <col min="7166" max="7166" width="8.33203125" style="128" bestFit="1" customWidth="1"/>
    <col min="7167" max="7167" width="18.58203125" style="128" customWidth="1"/>
    <col min="7168" max="7168" width="17.08203125" style="128" customWidth="1"/>
    <col min="7169" max="7169" width="14.58203125" style="128" bestFit="1" customWidth="1"/>
    <col min="7170" max="7170" width="8.58203125" style="128"/>
    <col min="7171" max="7171" width="3.83203125" style="128" customWidth="1"/>
    <col min="7172" max="7172" width="14.5" style="128" bestFit="1" customWidth="1"/>
    <col min="7173" max="7173" width="7.08203125" style="128" bestFit="1" customWidth="1"/>
    <col min="7174" max="7174" width="8.58203125" style="128" bestFit="1" customWidth="1"/>
    <col min="7175" max="7175" width="5" style="128" bestFit="1" customWidth="1"/>
    <col min="7176" max="7176" width="13.5" style="128" bestFit="1" customWidth="1"/>
    <col min="7177" max="7177" width="12" style="128" customWidth="1"/>
    <col min="7178" max="7420" width="8.58203125" style="128"/>
    <col min="7421" max="7421" width="9.83203125" style="128" bestFit="1" customWidth="1"/>
    <col min="7422" max="7422" width="8.33203125" style="128" bestFit="1" customWidth="1"/>
    <col min="7423" max="7423" width="18.58203125" style="128" customWidth="1"/>
    <col min="7424" max="7424" width="17.08203125" style="128" customWidth="1"/>
    <col min="7425" max="7425" width="14.58203125" style="128" bestFit="1" customWidth="1"/>
    <col min="7426" max="7426" width="8.58203125" style="128"/>
    <col min="7427" max="7427" width="3.83203125" style="128" customWidth="1"/>
    <col min="7428" max="7428" width="14.5" style="128" bestFit="1" customWidth="1"/>
    <col min="7429" max="7429" width="7.08203125" style="128" bestFit="1" customWidth="1"/>
    <col min="7430" max="7430" width="8.58203125" style="128" bestFit="1" customWidth="1"/>
    <col min="7431" max="7431" width="5" style="128" bestFit="1" customWidth="1"/>
    <col min="7432" max="7432" width="13.5" style="128" bestFit="1" customWidth="1"/>
    <col min="7433" max="7433" width="12" style="128" customWidth="1"/>
    <col min="7434" max="7676" width="8.58203125" style="128"/>
    <col min="7677" max="7677" width="9.83203125" style="128" bestFit="1" customWidth="1"/>
    <col min="7678" max="7678" width="8.33203125" style="128" bestFit="1" customWidth="1"/>
    <col min="7679" max="7679" width="18.58203125" style="128" customWidth="1"/>
    <col min="7680" max="7680" width="17.08203125" style="128" customWidth="1"/>
    <col min="7681" max="7681" width="14.58203125" style="128" bestFit="1" customWidth="1"/>
    <col min="7682" max="7682" width="8.58203125" style="128"/>
    <col min="7683" max="7683" width="3.83203125" style="128" customWidth="1"/>
    <col min="7684" max="7684" width="14.5" style="128" bestFit="1" customWidth="1"/>
    <col min="7685" max="7685" width="7.08203125" style="128" bestFit="1" customWidth="1"/>
    <col min="7686" max="7686" width="8.58203125" style="128" bestFit="1" customWidth="1"/>
    <col min="7687" max="7687" width="5" style="128" bestFit="1" customWidth="1"/>
    <col min="7688" max="7688" width="13.5" style="128" bestFit="1" customWidth="1"/>
    <col min="7689" max="7689" width="12" style="128" customWidth="1"/>
    <col min="7690" max="7932" width="8.58203125" style="128"/>
    <col min="7933" max="7933" width="9.83203125" style="128" bestFit="1" customWidth="1"/>
    <col min="7934" max="7934" width="8.33203125" style="128" bestFit="1" customWidth="1"/>
    <col min="7935" max="7935" width="18.58203125" style="128" customWidth="1"/>
    <col min="7936" max="7936" width="17.08203125" style="128" customWidth="1"/>
    <col min="7937" max="7937" width="14.58203125" style="128" bestFit="1" customWidth="1"/>
    <col min="7938" max="7938" width="8.58203125" style="128"/>
    <col min="7939" max="7939" width="3.83203125" style="128" customWidth="1"/>
    <col min="7940" max="7940" width="14.5" style="128" bestFit="1" customWidth="1"/>
    <col min="7941" max="7941" width="7.08203125" style="128" bestFit="1" customWidth="1"/>
    <col min="7942" max="7942" width="8.58203125" style="128" bestFit="1" customWidth="1"/>
    <col min="7943" max="7943" width="5" style="128" bestFit="1" customWidth="1"/>
    <col min="7944" max="7944" width="13.5" style="128" bestFit="1" customWidth="1"/>
    <col min="7945" max="7945" width="12" style="128" customWidth="1"/>
    <col min="7946" max="8188" width="8.58203125" style="128"/>
    <col min="8189" max="8189" width="9.83203125" style="128" bestFit="1" customWidth="1"/>
    <col min="8190" max="8190" width="8.33203125" style="128" bestFit="1" customWidth="1"/>
    <col min="8191" max="8191" width="18.58203125" style="128" customWidth="1"/>
    <col min="8192" max="8192" width="17.08203125" style="128" customWidth="1"/>
    <col min="8193" max="8193" width="14.58203125" style="128" bestFit="1" customWidth="1"/>
    <col min="8194" max="8194" width="8.58203125" style="128"/>
    <col min="8195" max="8195" width="3.83203125" style="128" customWidth="1"/>
    <col min="8196" max="8196" width="14.5" style="128" bestFit="1" customWidth="1"/>
    <col min="8197" max="8197" width="7.08203125" style="128" bestFit="1" customWidth="1"/>
    <col min="8198" max="8198" width="8.58203125" style="128" bestFit="1" customWidth="1"/>
    <col min="8199" max="8199" width="5" style="128" bestFit="1" customWidth="1"/>
    <col min="8200" max="8200" width="13.5" style="128" bestFit="1" customWidth="1"/>
    <col min="8201" max="8201" width="12" style="128" customWidth="1"/>
    <col min="8202" max="8444" width="8.58203125" style="128"/>
    <col min="8445" max="8445" width="9.83203125" style="128" bestFit="1" customWidth="1"/>
    <col min="8446" max="8446" width="8.33203125" style="128" bestFit="1" customWidth="1"/>
    <col min="8447" max="8447" width="18.58203125" style="128" customWidth="1"/>
    <col min="8448" max="8448" width="17.08203125" style="128" customWidth="1"/>
    <col min="8449" max="8449" width="14.58203125" style="128" bestFit="1" customWidth="1"/>
    <col min="8450" max="8450" width="8.58203125" style="128"/>
    <col min="8451" max="8451" width="3.83203125" style="128" customWidth="1"/>
    <col min="8452" max="8452" width="14.5" style="128" bestFit="1" customWidth="1"/>
    <col min="8453" max="8453" width="7.08203125" style="128" bestFit="1" customWidth="1"/>
    <col min="8454" max="8454" width="8.58203125" style="128" bestFit="1" customWidth="1"/>
    <col min="8455" max="8455" width="5" style="128" bestFit="1" customWidth="1"/>
    <col min="8456" max="8456" width="13.5" style="128" bestFit="1" customWidth="1"/>
    <col min="8457" max="8457" width="12" style="128" customWidth="1"/>
    <col min="8458" max="8700" width="8.58203125" style="128"/>
    <col min="8701" max="8701" width="9.83203125" style="128" bestFit="1" customWidth="1"/>
    <col min="8702" max="8702" width="8.33203125" style="128" bestFit="1" customWidth="1"/>
    <col min="8703" max="8703" width="18.58203125" style="128" customWidth="1"/>
    <col min="8704" max="8704" width="17.08203125" style="128" customWidth="1"/>
    <col min="8705" max="8705" width="14.58203125" style="128" bestFit="1" customWidth="1"/>
    <col min="8706" max="8706" width="8.58203125" style="128"/>
    <col min="8707" max="8707" width="3.83203125" style="128" customWidth="1"/>
    <col min="8708" max="8708" width="14.5" style="128" bestFit="1" customWidth="1"/>
    <col min="8709" max="8709" width="7.08203125" style="128" bestFit="1" customWidth="1"/>
    <col min="8710" max="8710" width="8.58203125" style="128" bestFit="1" customWidth="1"/>
    <col min="8711" max="8711" width="5" style="128" bestFit="1" customWidth="1"/>
    <col min="8712" max="8712" width="13.5" style="128" bestFit="1" customWidth="1"/>
    <col min="8713" max="8713" width="12" style="128" customWidth="1"/>
    <col min="8714" max="8956" width="8.58203125" style="128"/>
    <col min="8957" max="8957" width="9.83203125" style="128" bestFit="1" customWidth="1"/>
    <col min="8958" max="8958" width="8.33203125" style="128" bestFit="1" customWidth="1"/>
    <col min="8959" max="8959" width="18.58203125" style="128" customWidth="1"/>
    <col min="8960" max="8960" width="17.08203125" style="128" customWidth="1"/>
    <col min="8961" max="8961" width="14.58203125" style="128" bestFit="1" customWidth="1"/>
    <col min="8962" max="8962" width="8.58203125" style="128"/>
    <col min="8963" max="8963" width="3.83203125" style="128" customWidth="1"/>
    <col min="8964" max="8964" width="14.5" style="128" bestFit="1" customWidth="1"/>
    <col min="8965" max="8965" width="7.08203125" style="128" bestFit="1" customWidth="1"/>
    <col min="8966" max="8966" width="8.58203125" style="128" bestFit="1" customWidth="1"/>
    <col min="8967" max="8967" width="5" style="128" bestFit="1" customWidth="1"/>
    <col min="8968" max="8968" width="13.5" style="128" bestFit="1" customWidth="1"/>
    <col min="8969" max="8969" width="12" style="128" customWidth="1"/>
    <col min="8970" max="9212" width="8.58203125" style="128"/>
    <col min="9213" max="9213" width="9.83203125" style="128" bestFit="1" customWidth="1"/>
    <col min="9214" max="9214" width="8.33203125" style="128" bestFit="1" customWidth="1"/>
    <col min="9215" max="9215" width="18.58203125" style="128" customWidth="1"/>
    <col min="9216" max="9216" width="17.08203125" style="128" customWidth="1"/>
    <col min="9217" max="9217" width="14.58203125" style="128" bestFit="1" customWidth="1"/>
    <col min="9218" max="9218" width="8.58203125" style="128"/>
    <col min="9219" max="9219" width="3.83203125" style="128" customWidth="1"/>
    <col min="9220" max="9220" width="14.5" style="128" bestFit="1" customWidth="1"/>
    <col min="9221" max="9221" width="7.08203125" style="128" bestFit="1" customWidth="1"/>
    <col min="9222" max="9222" width="8.58203125" style="128" bestFit="1" customWidth="1"/>
    <col min="9223" max="9223" width="5" style="128" bestFit="1" customWidth="1"/>
    <col min="9224" max="9224" width="13.5" style="128" bestFit="1" customWidth="1"/>
    <col min="9225" max="9225" width="12" style="128" customWidth="1"/>
    <col min="9226" max="9468" width="8.58203125" style="128"/>
    <col min="9469" max="9469" width="9.83203125" style="128" bestFit="1" customWidth="1"/>
    <col min="9470" max="9470" width="8.33203125" style="128" bestFit="1" customWidth="1"/>
    <col min="9471" max="9471" width="18.58203125" style="128" customWidth="1"/>
    <col min="9472" max="9472" width="17.08203125" style="128" customWidth="1"/>
    <col min="9473" max="9473" width="14.58203125" style="128" bestFit="1" customWidth="1"/>
    <col min="9474" max="9474" width="8.58203125" style="128"/>
    <col min="9475" max="9475" width="3.83203125" style="128" customWidth="1"/>
    <col min="9476" max="9476" width="14.5" style="128" bestFit="1" customWidth="1"/>
    <col min="9477" max="9477" width="7.08203125" style="128" bestFit="1" customWidth="1"/>
    <col min="9478" max="9478" width="8.58203125" style="128" bestFit="1" customWidth="1"/>
    <col min="9479" max="9479" width="5" style="128" bestFit="1" customWidth="1"/>
    <col min="9480" max="9480" width="13.5" style="128" bestFit="1" customWidth="1"/>
    <col min="9481" max="9481" width="12" style="128" customWidth="1"/>
    <col min="9482" max="9724" width="8.58203125" style="128"/>
    <col min="9725" max="9725" width="9.83203125" style="128" bestFit="1" customWidth="1"/>
    <col min="9726" max="9726" width="8.33203125" style="128" bestFit="1" customWidth="1"/>
    <col min="9727" max="9727" width="18.58203125" style="128" customWidth="1"/>
    <col min="9728" max="9728" width="17.08203125" style="128" customWidth="1"/>
    <col min="9729" max="9729" width="14.58203125" style="128" bestFit="1" customWidth="1"/>
    <col min="9730" max="9730" width="8.58203125" style="128"/>
    <col min="9731" max="9731" width="3.83203125" style="128" customWidth="1"/>
    <col min="9732" max="9732" width="14.5" style="128" bestFit="1" customWidth="1"/>
    <col min="9733" max="9733" width="7.08203125" style="128" bestFit="1" customWidth="1"/>
    <col min="9734" max="9734" width="8.58203125" style="128" bestFit="1" customWidth="1"/>
    <col min="9735" max="9735" width="5" style="128" bestFit="1" customWidth="1"/>
    <col min="9736" max="9736" width="13.5" style="128" bestFit="1" customWidth="1"/>
    <col min="9737" max="9737" width="12" style="128" customWidth="1"/>
    <col min="9738" max="9980" width="8.58203125" style="128"/>
    <col min="9981" max="9981" width="9.83203125" style="128" bestFit="1" customWidth="1"/>
    <col min="9982" max="9982" width="8.33203125" style="128" bestFit="1" customWidth="1"/>
    <col min="9983" max="9983" width="18.58203125" style="128" customWidth="1"/>
    <col min="9984" max="9984" width="17.08203125" style="128" customWidth="1"/>
    <col min="9985" max="9985" width="14.58203125" style="128" bestFit="1" customWidth="1"/>
    <col min="9986" max="9986" width="8.58203125" style="128"/>
    <col min="9987" max="9987" width="3.83203125" style="128" customWidth="1"/>
    <col min="9988" max="9988" width="14.5" style="128" bestFit="1" customWidth="1"/>
    <col min="9989" max="9989" width="7.08203125" style="128" bestFit="1" customWidth="1"/>
    <col min="9990" max="9990" width="8.58203125" style="128" bestFit="1" customWidth="1"/>
    <col min="9991" max="9991" width="5" style="128" bestFit="1" customWidth="1"/>
    <col min="9992" max="9992" width="13.5" style="128" bestFit="1" customWidth="1"/>
    <col min="9993" max="9993" width="12" style="128" customWidth="1"/>
    <col min="9994" max="10236" width="8.58203125" style="128"/>
    <col min="10237" max="10237" width="9.83203125" style="128" bestFit="1" customWidth="1"/>
    <col min="10238" max="10238" width="8.33203125" style="128" bestFit="1" customWidth="1"/>
    <col min="10239" max="10239" width="18.58203125" style="128" customWidth="1"/>
    <col min="10240" max="10240" width="17.08203125" style="128" customWidth="1"/>
    <col min="10241" max="10241" width="14.58203125" style="128" bestFit="1" customWidth="1"/>
    <col min="10242" max="10242" width="8.58203125" style="128"/>
    <col min="10243" max="10243" width="3.83203125" style="128" customWidth="1"/>
    <col min="10244" max="10244" width="14.5" style="128" bestFit="1" customWidth="1"/>
    <col min="10245" max="10245" width="7.08203125" style="128" bestFit="1" customWidth="1"/>
    <col min="10246" max="10246" width="8.58203125" style="128" bestFit="1" customWidth="1"/>
    <col min="10247" max="10247" width="5" style="128" bestFit="1" customWidth="1"/>
    <col min="10248" max="10248" width="13.5" style="128" bestFit="1" customWidth="1"/>
    <col min="10249" max="10249" width="12" style="128" customWidth="1"/>
    <col min="10250" max="10492" width="8.58203125" style="128"/>
    <col min="10493" max="10493" width="9.83203125" style="128" bestFit="1" customWidth="1"/>
    <col min="10494" max="10494" width="8.33203125" style="128" bestFit="1" customWidth="1"/>
    <col min="10495" max="10495" width="18.58203125" style="128" customWidth="1"/>
    <col min="10496" max="10496" width="17.08203125" style="128" customWidth="1"/>
    <col min="10497" max="10497" width="14.58203125" style="128" bestFit="1" customWidth="1"/>
    <col min="10498" max="10498" width="8.58203125" style="128"/>
    <col min="10499" max="10499" width="3.83203125" style="128" customWidth="1"/>
    <col min="10500" max="10500" width="14.5" style="128" bestFit="1" customWidth="1"/>
    <col min="10501" max="10501" width="7.08203125" style="128" bestFit="1" customWidth="1"/>
    <col min="10502" max="10502" width="8.58203125" style="128" bestFit="1" customWidth="1"/>
    <col min="10503" max="10503" width="5" style="128" bestFit="1" customWidth="1"/>
    <col min="10504" max="10504" width="13.5" style="128" bestFit="1" customWidth="1"/>
    <col min="10505" max="10505" width="12" style="128" customWidth="1"/>
    <col min="10506" max="10748" width="8.58203125" style="128"/>
    <col min="10749" max="10749" width="9.83203125" style="128" bestFit="1" customWidth="1"/>
    <col min="10750" max="10750" width="8.33203125" style="128" bestFit="1" customWidth="1"/>
    <col min="10751" max="10751" width="18.58203125" style="128" customWidth="1"/>
    <col min="10752" max="10752" width="17.08203125" style="128" customWidth="1"/>
    <col min="10753" max="10753" width="14.58203125" style="128" bestFit="1" customWidth="1"/>
    <col min="10754" max="10754" width="8.58203125" style="128"/>
    <col min="10755" max="10755" width="3.83203125" style="128" customWidth="1"/>
    <col min="10756" max="10756" width="14.5" style="128" bestFit="1" customWidth="1"/>
    <col min="10757" max="10757" width="7.08203125" style="128" bestFit="1" customWidth="1"/>
    <col min="10758" max="10758" width="8.58203125" style="128" bestFit="1" customWidth="1"/>
    <col min="10759" max="10759" width="5" style="128" bestFit="1" customWidth="1"/>
    <col min="10760" max="10760" width="13.5" style="128" bestFit="1" customWidth="1"/>
    <col min="10761" max="10761" width="12" style="128" customWidth="1"/>
    <col min="10762" max="11004" width="8.58203125" style="128"/>
    <col min="11005" max="11005" width="9.83203125" style="128" bestFit="1" customWidth="1"/>
    <col min="11006" max="11006" width="8.33203125" style="128" bestFit="1" customWidth="1"/>
    <col min="11007" max="11007" width="18.58203125" style="128" customWidth="1"/>
    <col min="11008" max="11008" width="17.08203125" style="128" customWidth="1"/>
    <col min="11009" max="11009" width="14.58203125" style="128" bestFit="1" customWidth="1"/>
    <col min="11010" max="11010" width="8.58203125" style="128"/>
    <col min="11011" max="11011" width="3.83203125" style="128" customWidth="1"/>
    <col min="11012" max="11012" width="14.5" style="128" bestFit="1" customWidth="1"/>
    <col min="11013" max="11013" width="7.08203125" style="128" bestFit="1" customWidth="1"/>
    <col min="11014" max="11014" width="8.58203125" style="128" bestFit="1" customWidth="1"/>
    <col min="11015" max="11015" width="5" style="128" bestFit="1" customWidth="1"/>
    <col min="11016" max="11016" width="13.5" style="128" bestFit="1" customWidth="1"/>
    <col min="11017" max="11017" width="12" style="128" customWidth="1"/>
    <col min="11018" max="11260" width="8.58203125" style="128"/>
    <col min="11261" max="11261" width="9.83203125" style="128" bestFit="1" customWidth="1"/>
    <col min="11262" max="11262" width="8.33203125" style="128" bestFit="1" customWidth="1"/>
    <col min="11263" max="11263" width="18.58203125" style="128" customWidth="1"/>
    <col min="11264" max="11264" width="17.08203125" style="128" customWidth="1"/>
    <col min="11265" max="11265" width="14.58203125" style="128" bestFit="1" customWidth="1"/>
    <col min="11266" max="11266" width="8.58203125" style="128"/>
    <col min="11267" max="11267" width="3.83203125" style="128" customWidth="1"/>
    <col min="11268" max="11268" width="14.5" style="128" bestFit="1" customWidth="1"/>
    <col min="11269" max="11269" width="7.08203125" style="128" bestFit="1" customWidth="1"/>
    <col min="11270" max="11270" width="8.58203125" style="128" bestFit="1" customWidth="1"/>
    <col min="11271" max="11271" width="5" style="128" bestFit="1" customWidth="1"/>
    <col min="11272" max="11272" width="13.5" style="128" bestFit="1" customWidth="1"/>
    <col min="11273" max="11273" width="12" style="128" customWidth="1"/>
    <col min="11274" max="11516" width="8.58203125" style="128"/>
    <col min="11517" max="11517" width="9.83203125" style="128" bestFit="1" customWidth="1"/>
    <col min="11518" max="11518" width="8.33203125" style="128" bestFit="1" customWidth="1"/>
    <col min="11519" max="11519" width="18.58203125" style="128" customWidth="1"/>
    <col min="11520" max="11520" width="17.08203125" style="128" customWidth="1"/>
    <col min="11521" max="11521" width="14.58203125" style="128" bestFit="1" customWidth="1"/>
    <col min="11522" max="11522" width="8.58203125" style="128"/>
    <col min="11523" max="11523" width="3.83203125" style="128" customWidth="1"/>
    <col min="11524" max="11524" width="14.5" style="128" bestFit="1" customWidth="1"/>
    <col min="11525" max="11525" width="7.08203125" style="128" bestFit="1" customWidth="1"/>
    <col min="11526" max="11526" width="8.58203125" style="128" bestFit="1" customWidth="1"/>
    <col min="11527" max="11527" width="5" style="128" bestFit="1" customWidth="1"/>
    <col min="11528" max="11528" width="13.5" style="128" bestFit="1" customWidth="1"/>
    <col min="11529" max="11529" width="12" style="128" customWidth="1"/>
    <col min="11530" max="11772" width="8.58203125" style="128"/>
    <col min="11773" max="11773" width="9.83203125" style="128" bestFit="1" customWidth="1"/>
    <col min="11774" max="11774" width="8.33203125" style="128" bestFit="1" customWidth="1"/>
    <col min="11775" max="11775" width="18.58203125" style="128" customWidth="1"/>
    <col min="11776" max="11776" width="17.08203125" style="128" customWidth="1"/>
    <col min="11777" max="11777" width="14.58203125" style="128" bestFit="1" customWidth="1"/>
    <col min="11778" max="11778" width="8.58203125" style="128"/>
    <col min="11779" max="11779" width="3.83203125" style="128" customWidth="1"/>
    <col min="11780" max="11780" width="14.5" style="128" bestFit="1" customWidth="1"/>
    <col min="11781" max="11781" width="7.08203125" style="128" bestFit="1" customWidth="1"/>
    <col min="11782" max="11782" width="8.58203125" style="128" bestFit="1" customWidth="1"/>
    <col min="11783" max="11783" width="5" style="128" bestFit="1" customWidth="1"/>
    <col min="11784" max="11784" width="13.5" style="128" bestFit="1" customWidth="1"/>
    <col min="11785" max="11785" width="12" style="128" customWidth="1"/>
    <col min="11786" max="12028" width="8.58203125" style="128"/>
    <col min="12029" max="12029" width="9.83203125" style="128" bestFit="1" customWidth="1"/>
    <col min="12030" max="12030" width="8.33203125" style="128" bestFit="1" customWidth="1"/>
    <col min="12031" max="12031" width="18.58203125" style="128" customWidth="1"/>
    <col min="12032" max="12032" width="17.08203125" style="128" customWidth="1"/>
    <col min="12033" max="12033" width="14.58203125" style="128" bestFit="1" customWidth="1"/>
    <col min="12034" max="12034" width="8.58203125" style="128"/>
    <col min="12035" max="12035" width="3.83203125" style="128" customWidth="1"/>
    <col min="12036" max="12036" width="14.5" style="128" bestFit="1" customWidth="1"/>
    <col min="12037" max="12037" width="7.08203125" style="128" bestFit="1" customWidth="1"/>
    <col min="12038" max="12038" width="8.58203125" style="128" bestFit="1" customWidth="1"/>
    <col min="12039" max="12039" width="5" style="128" bestFit="1" customWidth="1"/>
    <col min="12040" max="12040" width="13.5" style="128" bestFit="1" customWidth="1"/>
    <col min="12041" max="12041" width="12" style="128" customWidth="1"/>
    <col min="12042" max="12284" width="8.58203125" style="128"/>
    <col min="12285" max="12285" width="9.83203125" style="128" bestFit="1" customWidth="1"/>
    <col min="12286" max="12286" width="8.33203125" style="128" bestFit="1" customWidth="1"/>
    <col min="12287" max="12287" width="18.58203125" style="128" customWidth="1"/>
    <col min="12288" max="12288" width="17.08203125" style="128" customWidth="1"/>
    <col min="12289" max="12289" width="14.58203125" style="128" bestFit="1" customWidth="1"/>
    <col min="12290" max="12290" width="8.58203125" style="128"/>
    <col min="12291" max="12291" width="3.83203125" style="128" customWidth="1"/>
    <col min="12292" max="12292" width="14.5" style="128" bestFit="1" customWidth="1"/>
    <col min="12293" max="12293" width="7.08203125" style="128" bestFit="1" customWidth="1"/>
    <col min="12294" max="12294" width="8.58203125" style="128" bestFit="1" customWidth="1"/>
    <col min="12295" max="12295" width="5" style="128" bestFit="1" customWidth="1"/>
    <col min="12296" max="12296" width="13.5" style="128" bestFit="1" customWidth="1"/>
    <col min="12297" max="12297" width="12" style="128" customWidth="1"/>
    <col min="12298" max="12540" width="8.58203125" style="128"/>
    <col min="12541" max="12541" width="9.83203125" style="128" bestFit="1" customWidth="1"/>
    <col min="12542" max="12542" width="8.33203125" style="128" bestFit="1" customWidth="1"/>
    <col min="12543" max="12543" width="18.58203125" style="128" customWidth="1"/>
    <col min="12544" max="12544" width="17.08203125" style="128" customWidth="1"/>
    <col min="12545" max="12545" width="14.58203125" style="128" bestFit="1" customWidth="1"/>
    <col min="12546" max="12546" width="8.58203125" style="128"/>
    <col min="12547" max="12547" width="3.83203125" style="128" customWidth="1"/>
    <col min="12548" max="12548" width="14.5" style="128" bestFit="1" customWidth="1"/>
    <col min="12549" max="12549" width="7.08203125" style="128" bestFit="1" customWidth="1"/>
    <col min="12550" max="12550" width="8.58203125" style="128" bestFit="1" customWidth="1"/>
    <col min="12551" max="12551" width="5" style="128" bestFit="1" customWidth="1"/>
    <col min="12552" max="12552" width="13.5" style="128" bestFit="1" customWidth="1"/>
    <col min="12553" max="12553" width="12" style="128" customWidth="1"/>
    <col min="12554" max="12796" width="8.58203125" style="128"/>
    <col min="12797" max="12797" width="9.83203125" style="128" bestFit="1" customWidth="1"/>
    <col min="12798" max="12798" width="8.33203125" style="128" bestFit="1" customWidth="1"/>
    <col min="12799" max="12799" width="18.58203125" style="128" customWidth="1"/>
    <col min="12800" max="12800" width="17.08203125" style="128" customWidth="1"/>
    <col min="12801" max="12801" width="14.58203125" style="128" bestFit="1" customWidth="1"/>
    <col min="12802" max="12802" width="8.58203125" style="128"/>
    <col min="12803" max="12803" width="3.83203125" style="128" customWidth="1"/>
    <col min="12804" max="12804" width="14.5" style="128" bestFit="1" customWidth="1"/>
    <col min="12805" max="12805" width="7.08203125" style="128" bestFit="1" customWidth="1"/>
    <col min="12806" max="12806" width="8.58203125" style="128" bestFit="1" customWidth="1"/>
    <col min="12807" max="12807" width="5" style="128" bestFit="1" customWidth="1"/>
    <col min="12808" max="12808" width="13.5" style="128" bestFit="1" customWidth="1"/>
    <col min="12809" max="12809" width="12" style="128" customWidth="1"/>
    <col min="12810" max="13052" width="8.58203125" style="128"/>
    <col min="13053" max="13053" width="9.83203125" style="128" bestFit="1" customWidth="1"/>
    <col min="13054" max="13054" width="8.33203125" style="128" bestFit="1" customWidth="1"/>
    <col min="13055" max="13055" width="18.58203125" style="128" customWidth="1"/>
    <col min="13056" max="13056" width="17.08203125" style="128" customWidth="1"/>
    <col min="13057" max="13057" width="14.58203125" style="128" bestFit="1" customWidth="1"/>
    <col min="13058" max="13058" width="8.58203125" style="128"/>
    <col min="13059" max="13059" width="3.83203125" style="128" customWidth="1"/>
    <col min="13060" max="13060" width="14.5" style="128" bestFit="1" customWidth="1"/>
    <col min="13061" max="13061" width="7.08203125" style="128" bestFit="1" customWidth="1"/>
    <col min="13062" max="13062" width="8.58203125" style="128" bestFit="1" customWidth="1"/>
    <col min="13063" max="13063" width="5" style="128" bestFit="1" customWidth="1"/>
    <col min="13064" max="13064" width="13.5" style="128" bestFit="1" customWidth="1"/>
    <col min="13065" max="13065" width="12" style="128" customWidth="1"/>
    <col min="13066" max="13308" width="8.58203125" style="128"/>
    <col min="13309" max="13309" width="9.83203125" style="128" bestFit="1" customWidth="1"/>
    <col min="13310" max="13310" width="8.33203125" style="128" bestFit="1" customWidth="1"/>
    <col min="13311" max="13311" width="18.58203125" style="128" customWidth="1"/>
    <col min="13312" max="13312" width="17.08203125" style="128" customWidth="1"/>
    <col min="13313" max="13313" width="14.58203125" style="128" bestFit="1" customWidth="1"/>
    <col min="13314" max="13314" width="8.58203125" style="128"/>
    <col min="13315" max="13315" width="3.83203125" style="128" customWidth="1"/>
    <col min="13316" max="13316" width="14.5" style="128" bestFit="1" customWidth="1"/>
    <col min="13317" max="13317" width="7.08203125" style="128" bestFit="1" customWidth="1"/>
    <col min="13318" max="13318" width="8.58203125" style="128" bestFit="1" customWidth="1"/>
    <col min="13319" max="13319" width="5" style="128" bestFit="1" customWidth="1"/>
    <col min="13320" max="13320" width="13.5" style="128" bestFit="1" customWidth="1"/>
    <col min="13321" max="13321" width="12" style="128" customWidth="1"/>
    <col min="13322" max="13564" width="8.58203125" style="128"/>
    <col min="13565" max="13565" width="9.83203125" style="128" bestFit="1" customWidth="1"/>
    <col min="13566" max="13566" width="8.33203125" style="128" bestFit="1" customWidth="1"/>
    <col min="13567" max="13567" width="18.58203125" style="128" customWidth="1"/>
    <col min="13568" max="13568" width="17.08203125" style="128" customWidth="1"/>
    <col min="13569" max="13569" width="14.58203125" style="128" bestFit="1" customWidth="1"/>
    <col min="13570" max="13570" width="8.58203125" style="128"/>
    <col min="13571" max="13571" width="3.83203125" style="128" customWidth="1"/>
    <col min="13572" max="13572" width="14.5" style="128" bestFit="1" customWidth="1"/>
    <col min="13573" max="13573" width="7.08203125" style="128" bestFit="1" customWidth="1"/>
    <col min="13574" max="13574" width="8.58203125" style="128" bestFit="1" customWidth="1"/>
    <col min="13575" max="13575" width="5" style="128" bestFit="1" customWidth="1"/>
    <col min="13576" max="13576" width="13.5" style="128" bestFit="1" customWidth="1"/>
    <col min="13577" max="13577" width="12" style="128" customWidth="1"/>
    <col min="13578" max="13820" width="8.58203125" style="128"/>
    <col min="13821" max="13821" width="9.83203125" style="128" bestFit="1" customWidth="1"/>
    <col min="13822" max="13822" width="8.33203125" style="128" bestFit="1" customWidth="1"/>
    <col min="13823" max="13823" width="18.58203125" style="128" customWidth="1"/>
    <col min="13824" max="13824" width="17.08203125" style="128" customWidth="1"/>
    <col min="13825" max="13825" width="14.58203125" style="128" bestFit="1" customWidth="1"/>
    <col min="13826" max="13826" width="8.58203125" style="128"/>
    <col min="13827" max="13827" width="3.83203125" style="128" customWidth="1"/>
    <col min="13828" max="13828" width="14.5" style="128" bestFit="1" customWidth="1"/>
    <col min="13829" max="13829" width="7.08203125" style="128" bestFit="1" customWidth="1"/>
    <col min="13830" max="13830" width="8.58203125" style="128" bestFit="1" customWidth="1"/>
    <col min="13831" max="13831" width="5" style="128" bestFit="1" customWidth="1"/>
    <col min="13832" max="13832" width="13.5" style="128" bestFit="1" customWidth="1"/>
    <col min="13833" max="13833" width="12" style="128" customWidth="1"/>
    <col min="13834" max="14076" width="8.58203125" style="128"/>
    <col min="14077" max="14077" width="9.83203125" style="128" bestFit="1" customWidth="1"/>
    <col min="14078" max="14078" width="8.33203125" style="128" bestFit="1" customWidth="1"/>
    <col min="14079" max="14079" width="18.58203125" style="128" customWidth="1"/>
    <col min="14080" max="14080" width="17.08203125" style="128" customWidth="1"/>
    <col min="14081" max="14081" width="14.58203125" style="128" bestFit="1" customWidth="1"/>
    <col min="14082" max="14082" width="8.58203125" style="128"/>
    <col min="14083" max="14083" width="3.83203125" style="128" customWidth="1"/>
    <col min="14084" max="14084" width="14.5" style="128" bestFit="1" customWidth="1"/>
    <col min="14085" max="14085" width="7.08203125" style="128" bestFit="1" customWidth="1"/>
    <col min="14086" max="14086" width="8.58203125" style="128" bestFit="1" customWidth="1"/>
    <col min="14087" max="14087" width="5" style="128" bestFit="1" customWidth="1"/>
    <col min="14088" max="14088" width="13.5" style="128" bestFit="1" customWidth="1"/>
    <col min="14089" max="14089" width="12" style="128" customWidth="1"/>
    <col min="14090" max="14332" width="8.58203125" style="128"/>
    <col min="14333" max="14333" width="9.83203125" style="128" bestFit="1" customWidth="1"/>
    <col min="14334" max="14334" width="8.33203125" style="128" bestFit="1" customWidth="1"/>
    <col min="14335" max="14335" width="18.58203125" style="128" customWidth="1"/>
    <col min="14336" max="14336" width="17.08203125" style="128" customWidth="1"/>
    <col min="14337" max="14337" width="14.58203125" style="128" bestFit="1" customWidth="1"/>
    <col min="14338" max="14338" width="8.58203125" style="128"/>
    <col min="14339" max="14339" width="3.83203125" style="128" customWidth="1"/>
    <col min="14340" max="14340" width="14.5" style="128" bestFit="1" customWidth="1"/>
    <col min="14341" max="14341" width="7.08203125" style="128" bestFit="1" customWidth="1"/>
    <col min="14342" max="14342" width="8.58203125" style="128" bestFit="1" customWidth="1"/>
    <col min="14343" max="14343" width="5" style="128" bestFit="1" customWidth="1"/>
    <col min="14344" max="14344" width="13.5" style="128" bestFit="1" customWidth="1"/>
    <col min="14345" max="14345" width="12" style="128" customWidth="1"/>
    <col min="14346" max="14588" width="8.58203125" style="128"/>
    <col min="14589" max="14589" width="9.83203125" style="128" bestFit="1" customWidth="1"/>
    <col min="14590" max="14590" width="8.33203125" style="128" bestFit="1" customWidth="1"/>
    <col min="14591" max="14591" width="18.58203125" style="128" customWidth="1"/>
    <col min="14592" max="14592" width="17.08203125" style="128" customWidth="1"/>
    <col min="14593" max="14593" width="14.58203125" style="128" bestFit="1" customWidth="1"/>
    <col min="14594" max="14594" width="8.58203125" style="128"/>
    <col min="14595" max="14595" width="3.83203125" style="128" customWidth="1"/>
    <col min="14596" max="14596" width="14.5" style="128" bestFit="1" customWidth="1"/>
    <col min="14597" max="14597" width="7.08203125" style="128" bestFit="1" customWidth="1"/>
    <col min="14598" max="14598" width="8.58203125" style="128" bestFit="1" customWidth="1"/>
    <col min="14599" max="14599" width="5" style="128" bestFit="1" customWidth="1"/>
    <col min="14600" max="14600" width="13.5" style="128" bestFit="1" customWidth="1"/>
    <col min="14601" max="14601" width="12" style="128" customWidth="1"/>
    <col min="14602" max="14844" width="8.58203125" style="128"/>
    <col min="14845" max="14845" width="9.83203125" style="128" bestFit="1" customWidth="1"/>
    <col min="14846" max="14846" width="8.33203125" style="128" bestFit="1" customWidth="1"/>
    <col min="14847" max="14847" width="18.58203125" style="128" customWidth="1"/>
    <col min="14848" max="14848" width="17.08203125" style="128" customWidth="1"/>
    <col min="14849" max="14849" width="14.58203125" style="128" bestFit="1" customWidth="1"/>
    <col min="14850" max="14850" width="8.58203125" style="128"/>
    <col min="14851" max="14851" width="3.83203125" style="128" customWidth="1"/>
    <col min="14852" max="14852" width="14.5" style="128" bestFit="1" customWidth="1"/>
    <col min="14853" max="14853" width="7.08203125" style="128" bestFit="1" customWidth="1"/>
    <col min="14854" max="14854" width="8.58203125" style="128" bestFit="1" customWidth="1"/>
    <col min="14855" max="14855" width="5" style="128" bestFit="1" customWidth="1"/>
    <col min="14856" max="14856" width="13.5" style="128" bestFit="1" customWidth="1"/>
    <col min="14857" max="14857" width="12" style="128" customWidth="1"/>
    <col min="14858" max="15100" width="8.58203125" style="128"/>
    <col min="15101" max="15101" width="9.83203125" style="128" bestFit="1" customWidth="1"/>
    <col min="15102" max="15102" width="8.33203125" style="128" bestFit="1" customWidth="1"/>
    <col min="15103" max="15103" width="18.58203125" style="128" customWidth="1"/>
    <col min="15104" max="15104" width="17.08203125" style="128" customWidth="1"/>
    <col min="15105" max="15105" width="14.58203125" style="128" bestFit="1" customWidth="1"/>
    <col min="15106" max="15106" width="8.58203125" style="128"/>
    <col min="15107" max="15107" width="3.83203125" style="128" customWidth="1"/>
    <col min="15108" max="15108" width="14.5" style="128" bestFit="1" customWidth="1"/>
    <col min="15109" max="15109" width="7.08203125" style="128" bestFit="1" customWidth="1"/>
    <col min="15110" max="15110" width="8.58203125" style="128" bestFit="1" customWidth="1"/>
    <col min="15111" max="15111" width="5" style="128" bestFit="1" customWidth="1"/>
    <col min="15112" max="15112" width="13.5" style="128" bestFit="1" customWidth="1"/>
    <col min="15113" max="15113" width="12" style="128" customWidth="1"/>
    <col min="15114" max="15356" width="8.58203125" style="128"/>
    <col min="15357" max="15357" width="9.83203125" style="128" bestFit="1" customWidth="1"/>
    <col min="15358" max="15358" width="8.33203125" style="128" bestFit="1" customWidth="1"/>
    <col min="15359" max="15359" width="18.58203125" style="128" customWidth="1"/>
    <col min="15360" max="15360" width="17.08203125" style="128" customWidth="1"/>
    <col min="15361" max="15361" width="14.58203125" style="128" bestFit="1" customWidth="1"/>
    <col min="15362" max="15362" width="8.58203125" style="128"/>
    <col min="15363" max="15363" width="3.83203125" style="128" customWidth="1"/>
    <col min="15364" max="15364" width="14.5" style="128" bestFit="1" customWidth="1"/>
    <col min="15365" max="15365" width="7.08203125" style="128" bestFit="1" customWidth="1"/>
    <col min="15366" max="15366" width="8.58203125" style="128" bestFit="1" customWidth="1"/>
    <col min="15367" max="15367" width="5" style="128" bestFit="1" customWidth="1"/>
    <col min="15368" max="15368" width="13.5" style="128" bestFit="1" customWidth="1"/>
    <col min="15369" max="15369" width="12" style="128" customWidth="1"/>
    <col min="15370" max="15612" width="8.58203125" style="128"/>
    <col min="15613" max="15613" width="9.83203125" style="128" bestFit="1" customWidth="1"/>
    <col min="15614" max="15614" width="8.33203125" style="128" bestFit="1" customWidth="1"/>
    <col min="15615" max="15615" width="18.58203125" style="128" customWidth="1"/>
    <col min="15616" max="15616" width="17.08203125" style="128" customWidth="1"/>
    <col min="15617" max="15617" width="14.58203125" style="128" bestFit="1" customWidth="1"/>
    <col min="15618" max="15618" width="8.58203125" style="128"/>
    <col min="15619" max="15619" width="3.83203125" style="128" customWidth="1"/>
    <col min="15620" max="15620" width="14.5" style="128" bestFit="1" customWidth="1"/>
    <col min="15621" max="15621" width="7.08203125" style="128" bestFit="1" customWidth="1"/>
    <col min="15622" max="15622" width="8.58203125" style="128" bestFit="1" customWidth="1"/>
    <col min="15623" max="15623" width="5" style="128" bestFit="1" customWidth="1"/>
    <col min="15624" max="15624" width="13.5" style="128" bestFit="1" customWidth="1"/>
    <col min="15625" max="15625" width="12" style="128" customWidth="1"/>
    <col min="15626" max="15868" width="8.58203125" style="128"/>
    <col min="15869" max="15869" width="9.83203125" style="128" bestFit="1" customWidth="1"/>
    <col min="15870" max="15870" width="8.33203125" style="128" bestFit="1" customWidth="1"/>
    <col min="15871" max="15871" width="18.58203125" style="128" customWidth="1"/>
    <col min="15872" max="15872" width="17.08203125" style="128" customWidth="1"/>
    <col min="15873" max="15873" width="14.58203125" style="128" bestFit="1" customWidth="1"/>
    <col min="15874" max="15874" width="8.58203125" style="128"/>
    <col min="15875" max="15875" width="3.83203125" style="128" customWidth="1"/>
    <col min="15876" max="15876" width="14.5" style="128" bestFit="1" customWidth="1"/>
    <col min="15877" max="15877" width="7.08203125" style="128" bestFit="1" customWidth="1"/>
    <col min="15878" max="15878" width="8.58203125" style="128" bestFit="1" customWidth="1"/>
    <col min="15879" max="15879" width="5" style="128" bestFit="1" customWidth="1"/>
    <col min="15880" max="15880" width="13.5" style="128" bestFit="1" customWidth="1"/>
    <col min="15881" max="15881" width="12" style="128" customWidth="1"/>
    <col min="15882" max="16124" width="8.58203125" style="128"/>
    <col min="16125" max="16125" width="9.83203125" style="128" bestFit="1" customWidth="1"/>
    <col min="16126" max="16126" width="8.33203125" style="128" bestFit="1" customWidth="1"/>
    <col min="16127" max="16127" width="18.58203125" style="128" customWidth="1"/>
    <col min="16128" max="16128" width="17.08203125" style="128" customWidth="1"/>
    <col min="16129" max="16129" width="14.58203125" style="128" bestFit="1" customWidth="1"/>
    <col min="16130" max="16130" width="8.58203125" style="128"/>
    <col min="16131" max="16131" width="3.83203125" style="128" customWidth="1"/>
    <col min="16132" max="16132" width="14.5" style="128" bestFit="1" customWidth="1"/>
    <col min="16133" max="16133" width="7.08203125" style="128" bestFit="1" customWidth="1"/>
    <col min="16134" max="16134" width="8.58203125" style="128" bestFit="1" customWidth="1"/>
    <col min="16135" max="16135" width="5" style="128" bestFit="1" customWidth="1"/>
    <col min="16136" max="16136" width="13.5" style="128" bestFit="1" customWidth="1"/>
    <col min="16137" max="16137" width="12" style="128" customWidth="1"/>
    <col min="16138" max="16378" width="8.58203125" style="128"/>
    <col min="16379" max="16384" width="9" style="128" customWidth="1"/>
  </cols>
  <sheetData>
    <row r="9" spans="1:3">
      <c r="A9" s="442" t="s">
        <v>242</v>
      </c>
      <c r="B9" s="442"/>
      <c r="C9" s="442"/>
    </row>
    <row r="11" spans="1:3">
      <c r="A11" s="130" t="s">
        <v>11</v>
      </c>
      <c r="B11" s="169" t="s">
        <v>83</v>
      </c>
      <c r="C11" s="131"/>
    </row>
    <row r="12" spans="1:3">
      <c r="A12" s="133">
        <v>1</v>
      </c>
      <c r="B12" s="167" t="s">
        <v>4</v>
      </c>
      <c r="C12" s="90" t="str">
        <f>'TSSS '!E15&amp;" - "&amp;'TSSS '!E16</f>
        <v>Liên hệ trực tiếp - SĐT: 09269.09299</v>
      </c>
    </row>
    <row r="13" spans="1:3">
      <c r="A13" s="133">
        <f>A12+1</f>
        <v>2</v>
      </c>
      <c r="B13" s="167" t="s">
        <v>90</v>
      </c>
      <c r="C13" s="212">
        <f>'TSSS '!E42</f>
        <v>4510000000</v>
      </c>
    </row>
    <row r="14" spans="1:3">
      <c r="A14" s="133">
        <f t="shared" ref="A14:A31" si="0">A13+1</f>
        <v>3</v>
      </c>
      <c r="B14" s="167" t="s">
        <v>241</v>
      </c>
      <c r="C14" s="212">
        <f>'TSSS '!E43</f>
        <v>3833500000</v>
      </c>
    </row>
    <row r="15" spans="1:3">
      <c r="A15" s="133">
        <f t="shared" si="0"/>
        <v>4</v>
      </c>
      <c r="B15" s="167" t="s">
        <v>53</v>
      </c>
      <c r="C15" s="90" t="str">
        <f>'TSSS '!E17</f>
        <v>Đang giao dịch</v>
      </c>
    </row>
    <row r="16" spans="1:3">
      <c r="A16" s="133">
        <f t="shared" si="0"/>
        <v>5</v>
      </c>
      <c r="B16" s="167" t="s">
        <v>178</v>
      </c>
      <c r="C16" s="90" t="str">
        <f>'TSSS '!E18</f>
        <v>Tháng 12/2025</v>
      </c>
    </row>
    <row r="17" spans="1:5">
      <c r="A17" s="133">
        <f t="shared" si="0"/>
        <v>6</v>
      </c>
      <c r="B17" s="167" t="s">
        <v>54</v>
      </c>
      <c r="C17" s="90" t="str">
        <f>'TSSS '!E19</f>
        <v>Giao dịch bình thường trên thị trường</v>
      </c>
    </row>
    <row r="18" spans="1:5">
      <c r="A18" s="133">
        <f t="shared" si="0"/>
        <v>7</v>
      </c>
      <c r="B18" s="167" t="s">
        <v>6</v>
      </c>
      <c r="C18" s="90" t="str">
        <f>'TSSS '!E20</f>
        <v>Có Giấy chứng nhận Quyền sử dụng đất</v>
      </c>
    </row>
    <row r="19" spans="1:5">
      <c r="A19" s="133">
        <f t="shared" si="0"/>
        <v>8</v>
      </c>
      <c r="B19" s="167" t="s">
        <v>80</v>
      </c>
      <c r="C19" s="90" t="str">
        <f>'TSSS '!E21</f>
        <v>Đất ở tại đô thị</v>
      </c>
    </row>
    <row r="20" spans="1:5">
      <c r="A20" s="133">
        <f t="shared" si="0"/>
        <v>9</v>
      </c>
      <c r="B20" s="148" t="s">
        <v>217</v>
      </c>
      <c r="C20" s="90" t="str">
        <f>'TSSS '!E22</f>
        <v>Lâu dài</v>
      </c>
    </row>
    <row r="21" spans="1:5">
      <c r="A21" s="133">
        <f t="shared" si="0"/>
        <v>10</v>
      </c>
      <c r="B21" s="199" t="s">
        <v>229</v>
      </c>
      <c r="C21" s="90" t="str">
        <f>'TSSS '!E23</f>
        <v>Vị trí 1 đường DT702, giao thông thuận tiện</v>
      </c>
    </row>
    <row r="22" spans="1:5">
      <c r="A22" s="133">
        <f t="shared" si="0"/>
        <v>11</v>
      </c>
      <c r="B22" s="167" t="s">
        <v>81</v>
      </c>
      <c r="C22" s="90" t="str">
        <f>'TSSS '!E24</f>
        <v>20m</v>
      </c>
    </row>
    <row r="23" spans="1:5">
      <c r="A23" s="133">
        <f t="shared" si="0"/>
        <v>12</v>
      </c>
      <c r="B23" s="167" t="s">
        <v>235</v>
      </c>
      <c r="C23" s="90">
        <f>'TSSS '!E25</f>
        <v>410</v>
      </c>
    </row>
    <row r="24" spans="1:5">
      <c r="A24" s="133">
        <f t="shared" si="0"/>
        <v>13</v>
      </c>
      <c r="B24" s="167" t="s">
        <v>85</v>
      </c>
      <c r="C24" s="90">
        <f>'TSSS '!E28</f>
        <v>10</v>
      </c>
    </row>
    <row r="25" spans="1:5">
      <c r="A25" s="133">
        <f t="shared" si="0"/>
        <v>14</v>
      </c>
      <c r="B25" s="167" t="s">
        <v>219</v>
      </c>
      <c r="C25" s="90" t="str">
        <f>'TSSS '!E30</f>
        <v>1 mặt tiền</v>
      </c>
    </row>
    <row r="26" spans="1:5">
      <c r="A26" s="133">
        <f t="shared" si="0"/>
        <v>15</v>
      </c>
      <c r="B26" s="167" t="s">
        <v>56</v>
      </c>
      <c r="C26" s="90" t="str">
        <f>'TSSS '!E31</f>
        <v>Vuông vắn</v>
      </c>
      <c r="D26" s="135"/>
    </row>
    <row r="27" spans="1:5">
      <c r="A27" s="133">
        <f t="shared" si="0"/>
        <v>16</v>
      </c>
      <c r="B27" s="199" t="s">
        <v>230</v>
      </c>
      <c r="C27" s="90" t="str">
        <f>'TSSS '!E32</f>
        <v>Tốt</v>
      </c>
      <c r="D27" s="135"/>
    </row>
    <row r="28" spans="1:5" ht="28">
      <c r="A28" s="133">
        <f t="shared" si="0"/>
        <v>17</v>
      </c>
      <c r="B28" s="167" t="s">
        <v>216</v>
      </c>
      <c r="C28" s="140" t="str">
        <f>'TSSS '!E33</f>
        <v>Không có bất lợi thương mại</v>
      </c>
    </row>
    <row r="29" spans="1:5">
      <c r="A29" s="133">
        <f t="shared" si="0"/>
        <v>18</v>
      </c>
      <c r="B29" s="167" t="s">
        <v>221</v>
      </c>
      <c r="C29" s="90" t="str">
        <f>'TSSS '!E34</f>
        <v xml:space="preserve">Hệ thống cấp điện, cấp thoát nước đầy đủ. </v>
      </c>
    </row>
    <row r="30" spans="1:5">
      <c r="A30" s="133">
        <f t="shared" si="0"/>
        <v>19</v>
      </c>
      <c r="B30" s="167" t="s">
        <v>218</v>
      </c>
      <c r="C30" s="90" t="str">
        <f>'TSSS '!E35</f>
        <v>Đường nhựa</v>
      </c>
      <c r="E30" s="196"/>
    </row>
    <row r="31" spans="1:5">
      <c r="A31" s="133">
        <f t="shared" si="0"/>
        <v>20</v>
      </c>
      <c r="B31" s="167" t="s">
        <v>86</v>
      </c>
      <c r="C31" s="90" t="str">
        <f>'TSSS '!E36</f>
        <v>Đất trống</v>
      </c>
    </row>
    <row r="32" spans="1:5">
      <c r="A32" s="139" t="s">
        <v>13</v>
      </c>
      <c r="B32" s="166" t="s">
        <v>243</v>
      </c>
      <c r="C32" s="134"/>
    </row>
    <row r="33" spans="1:8" ht="315" customHeight="1">
      <c r="A33" s="132"/>
      <c r="B33" s="462" t="s">
        <v>286</v>
      </c>
      <c r="C33" s="463"/>
    </row>
    <row r="34" spans="1:8">
      <c r="A34" s="172"/>
      <c r="B34" s="197"/>
      <c r="C34" s="198"/>
    </row>
    <row r="35" spans="1:8" ht="15.5" hidden="1">
      <c r="A35" s="172"/>
      <c r="B35" s="197"/>
      <c r="C35" s="200" t="str">
        <f>KHTĐG!D34</f>
        <v>Hà Nội, ngày 07 tháng 11 năm 2024</v>
      </c>
    </row>
    <row r="36" spans="1:8" ht="15">
      <c r="A36" s="172"/>
      <c r="B36" s="197"/>
      <c r="C36" s="22" t="s">
        <v>234</v>
      </c>
    </row>
    <row r="37" spans="1:8" ht="15.5">
      <c r="A37" s="172"/>
      <c r="B37" s="197"/>
      <c r="C37" s="21"/>
    </row>
    <row r="38" spans="1:8" ht="15.5">
      <c r="A38" s="172"/>
      <c r="B38" s="197"/>
      <c r="C38" s="21"/>
    </row>
    <row r="39" spans="1:8" ht="15.5">
      <c r="A39" s="172"/>
      <c r="B39" s="197"/>
      <c r="C39" s="21"/>
    </row>
    <row r="40" spans="1:8" s="62" customFormat="1" ht="15.5">
      <c r="A40" s="61"/>
      <c r="C40" s="21"/>
      <c r="D40" s="128"/>
      <c r="E40" s="63"/>
      <c r="F40" s="63"/>
      <c r="G40" s="63"/>
      <c r="H40" s="63"/>
    </row>
    <row r="41" spans="1:8" ht="15">
      <c r="C41" s="22" t="s">
        <v>287</v>
      </c>
    </row>
    <row r="56" spans="1:11" s="129" customFormat="1">
      <c r="A56" s="128"/>
      <c r="B56" s="181"/>
      <c r="D56" s="128"/>
      <c r="E56" s="128"/>
      <c r="F56" s="128"/>
      <c r="G56" s="128"/>
      <c r="H56" s="128"/>
      <c r="I56" s="128"/>
      <c r="J56" s="128"/>
      <c r="K56" s="128"/>
    </row>
  </sheetData>
  <mergeCells count="2">
    <mergeCell ref="A9:C9"/>
    <mergeCell ref="B33:C33"/>
  </mergeCells>
  <pageMargins left="0.7" right="0.7" top="0.38" bottom="0.27" header="0.3" footer="0.3"/>
  <pageSetup paperSize="9" scale="92"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154B-F892-4872-A0EC-E03D4AF40BAC}">
  <sheetPr>
    <pageSetUpPr fitToPage="1"/>
  </sheetPr>
  <dimension ref="A9:K55"/>
  <sheetViews>
    <sheetView showGridLines="0" topLeftCell="A4" zoomScale="80" zoomScaleNormal="80" workbookViewId="0">
      <selection activeCell="C20" sqref="C20"/>
    </sheetView>
  </sheetViews>
  <sheetFormatPr defaultRowHeight="14"/>
  <cols>
    <col min="1" max="1" width="5.08203125" style="128" customWidth="1"/>
    <col min="2" max="2" width="26.08203125" style="181" customWidth="1"/>
    <col min="3" max="3" width="57.33203125" style="129" customWidth="1"/>
    <col min="4" max="4" width="13.08203125" style="128" customWidth="1"/>
    <col min="5" max="5" width="16.83203125" style="128" customWidth="1"/>
    <col min="6" max="6" width="8.58203125" style="128" bestFit="1" customWidth="1"/>
    <col min="7" max="7" width="6.58203125" style="128" customWidth="1"/>
    <col min="8" max="8" width="13.5" style="128" bestFit="1" customWidth="1"/>
    <col min="9" max="9" width="12" style="128" customWidth="1"/>
    <col min="10" max="252" width="8.58203125" style="128"/>
    <col min="253" max="253" width="9.83203125" style="128" bestFit="1" customWidth="1"/>
    <col min="254" max="254" width="8.33203125" style="128" bestFit="1" customWidth="1"/>
    <col min="255" max="255" width="18.58203125" style="128" customWidth="1"/>
    <col min="256" max="256" width="17.08203125" style="128" customWidth="1"/>
    <col min="257" max="257" width="14.58203125" style="128" bestFit="1" customWidth="1"/>
    <col min="258" max="258" width="8.58203125" style="128"/>
    <col min="259" max="259" width="3.83203125" style="128" customWidth="1"/>
    <col min="260" max="260" width="14.5" style="128" bestFit="1" customWidth="1"/>
    <col min="261" max="261" width="7.08203125" style="128" bestFit="1" customWidth="1"/>
    <col min="262" max="262" width="8.58203125" style="128" bestFit="1" customWidth="1"/>
    <col min="263" max="263" width="5" style="128" bestFit="1" customWidth="1"/>
    <col min="264" max="264" width="13.5" style="128" bestFit="1" customWidth="1"/>
    <col min="265" max="265" width="12" style="128" customWidth="1"/>
    <col min="266" max="508" width="8.58203125" style="128"/>
    <col min="509" max="509" width="9.83203125" style="128" bestFit="1" customWidth="1"/>
    <col min="510" max="510" width="8.33203125" style="128" bestFit="1" customWidth="1"/>
    <col min="511" max="511" width="18.58203125" style="128" customWidth="1"/>
    <col min="512" max="512" width="17.08203125" style="128" customWidth="1"/>
    <col min="513" max="513" width="14.58203125" style="128" bestFit="1" customWidth="1"/>
    <col min="514" max="514" width="8.58203125" style="128"/>
    <col min="515" max="515" width="3.83203125" style="128" customWidth="1"/>
    <col min="516" max="516" width="14.5" style="128" bestFit="1" customWidth="1"/>
    <col min="517" max="517" width="7.08203125" style="128" bestFit="1" customWidth="1"/>
    <col min="518" max="518" width="8.58203125" style="128" bestFit="1" customWidth="1"/>
    <col min="519" max="519" width="5" style="128" bestFit="1" customWidth="1"/>
    <col min="520" max="520" width="13.5" style="128" bestFit="1" customWidth="1"/>
    <col min="521" max="521" width="12" style="128" customWidth="1"/>
    <col min="522" max="764" width="8.58203125" style="128"/>
    <col min="765" max="765" width="9.83203125" style="128" bestFit="1" customWidth="1"/>
    <col min="766" max="766" width="8.33203125" style="128" bestFit="1" customWidth="1"/>
    <col min="767" max="767" width="18.58203125" style="128" customWidth="1"/>
    <col min="768" max="768" width="17.08203125" style="128" customWidth="1"/>
    <col min="769" max="769" width="14.58203125" style="128" bestFit="1" customWidth="1"/>
    <col min="770" max="770" width="8.58203125" style="128"/>
    <col min="771" max="771" width="3.83203125" style="128" customWidth="1"/>
    <col min="772" max="772" width="14.5" style="128" bestFit="1" customWidth="1"/>
    <col min="773" max="773" width="7.08203125" style="128" bestFit="1" customWidth="1"/>
    <col min="774" max="774" width="8.58203125" style="128" bestFit="1" customWidth="1"/>
    <col min="775" max="775" width="5" style="128" bestFit="1" customWidth="1"/>
    <col min="776" max="776" width="13.5" style="128" bestFit="1" customWidth="1"/>
    <col min="777" max="777" width="12" style="128" customWidth="1"/>
    <col min="778" max="1020" width="8.58203125" style="128"/>
    <col min="1021" max="1021" width="9.83203125" style="128" bestFit="1" customWidth="1"/>
    <col min="1022" max="1022" width="8.33203125" style="128" bestFit="1" customWidth="1"/>
    <col min="1023" max="1023" width="18.58203125" style="128" customWidth="1"/>
    <col min="1024" max="1024" width="17.08203125" style="128" customWidth="1"/>
    <col min="1025" max="1025" width="14.58203125" style="128" bestFit="1" customWidth="1"/>
    <col min="1026" max="1026" width="8.58203125" style="128"/>
    <col min="1027" max="1027" width="3.83203125" style="128" customWidth="1"/>
    <col min="1028" max="1028" width="14.5" style="128" bestFit="1" customWidth="1"/>
    <col min="1029" max="1029" width="7.08203125" style="128" bestFit="1" customWidth="1"/>
    <col min="1030" max="1030" width="8.58203125" style="128" bestFit="1" customWidth="1"/>
    <col min="1031" max="1031" width="5" style="128" bestFit="1" customWidth="1"/>
    <col min="1032" max="1032" width="13.5" style="128" bestFit="1" customWidth="1"/>
    <col min="1033" max="1033" width="12" style="128" customWidth="1"/>
    <col min="1034" max="1276" width="8.58203125" style="128"/>
    <col min="1277" max="1277" width="9.83203125" style="128" bestFit="1" customWidth="1"/>
    <col min="1278" max="1278" width="8.33203125" style="128" bestFit="1" customWidth="1"/>
    <col min="1279" max="1279" width="18.58203125" style="128" customWidth="1"/>
    <col min="1280" max="1280" width="17.08203125" style="128" customWidth="1"/>
    <col min="1281" max="1281" width="14.58203125" style="128" bestFit="1" customWidth="1"/>
    <col min="1282" max="1282" width="8.58203125" style="128"/>
    <col min="1283" max="1283" width="3.83203125" style="128" customWidth="1"/>
    <col min="1284" max="1284" width="14.5" style="128" bestFit="1" customWidth="1"/>
    <col min="1285" max="1285" width="7.08203125" style="128" bestFit="1" customWidth="1"/>
    <col min="1286" max="1286" width="8.58203125" style="128" bestFit="1" customWidth="1"/>
    <col min="1287" max="1287" width="5" style="128" bestFit="1" customWidth="1"/>
    <col min="1288" max="1288" width="13.5" style="128" bestFit="1" customWidth="1"/>
    <col min="1289" max="1289" width="12" style="128" customWidth="1"/>
    <col min="1290" max="1532" width="8.58203125" style="128"/>
    <col min="1533" max="1533" width="9.83203125" style="128" bestFit="1" customWidth="1"/>
    <col min="1534" max="1534" width="8.33203125" style="128" bestFit="1" customWidth="1"/>
    <col min="1535" max="1535" width="18.58203125" style="128" customWidth="1"/>
    <col min="1536" max="1536" width="17.08203125" style="128" customWidth="1"/>
    <col min="1537" max="1537" width="14.58203125" style="128" bestFit="1" customWidth="1"/>
    <col min="1538" max="1538" width="8.58203125" style="128"/>
    <col min="1539" max="1539" width="3.83203125" style="128" customWidth="1"/>
    <col min="1540" max="1540" width="14.5" style="128" bestFit="1" customWidth="1"/>
    <col min="1541" max="1541" width="7.08203125" style="128" bestFit="1" customWidth="1"/>
    <col min="1542" max="1542" width="8.58203125" style="128" bestFit="1" customWidth="1"/>
    <col min="1543" max="1543" width="5" style="128" bestFit="1" customWidth="1"/>
    <col min="1544" max="1544" width="13.5" style="128" bestFit="1" customWidth="1"/>
    <col min="1545" max="1545" width="12" style="128" customWidth="1"/>
    <col min="1546" max="1788" width="8.58203125" style="128"/>
    <col min="1789" max="1789" width="9.83203125" style="128" bestFit="1" customWidth="1"/>
    <col min="1790" max="1790" width="8.33203125" style="128" bestFit="1" customWidth="1"/>
    <col min="1791" max="1791" width="18.58203125" style="128" customWidth="1"/>
    <col min="1792" max="1792" width="17.08203125" style="128" customWidth="1"/>
    <col min="1793" max="1793" width="14.58203125" style="128" bestFit="1" customWidth="1"/>
    <col min="1794" max="1794" width="8.58203125" style="128"/>
    <col min="1795" max="1795" width="3.83203125" style="128" customWidth="1"/>
    <col min="1796" max="1796" width="14.5" style="128" bestFit="1" customWidth="1"/>
    <col min="1797" max="1797" width="7.08203125" style="128" bestFit="1" customWidth="1"/>
    <col min="1798" max="1798" width="8.58203125" style="128" bestFit="1" customWidth="1"/>
    <col min="1799" max="1799" width="5" style="128" bestFit="1" customWidth="1"/>
    <col min="1800" max="1800" width="13.5" style="128" bestFit="1" customWidth="1"/>
    <col min="1801" max="1801" width="12" style="128" customWidth="1"/>
    <col min="1802" max="2044" width="8.58203125" style="128"/>
    <col min="2045" max="2045" width="9.83203125" style="128" bestFit="1" customWidth="1"/>
    <col min="2046" max="2046" width="8.33203125" style="128" bestFit="1" customWidth="1"/>
    <col min="2047" max="2047" width="18.58203125" style="128" customWidth="1"/>
    <col min="2048" max="2048" width="17.08203125" style="128" customWidth="1"/>
    <col min="2049" max="2049" width="14.58203125" style="128" bestFit="1" customWidth="1"/>
    <col min="2050" max="2050" width="8.58203125" style="128"/>
    <col min="2051" max="2051" width="3.83203125" style="128" customWidth="1"/>
    <col min="2052" max="2052" width="14.5" style="128" bestFit="1" customWidth="1"/>
    <col min="2053" max="2053" width="7.08203125" style="128" bestFit="1" customWidth="1"/>
    <col min="2054" max="2054" width="8.58203125" style="128" bestFit="1" customWidth="1"/>
    <col min="2055" max="2055" width="5" style="128" bestFit="1" customWidth="1"/>
    <col min="2056" max="2056" width="13.5" style="128" bestFit="1" customWidth="1"/>
    <col min="2057" max="2057" width="12" style="128" customWidth="1"/>
    <col min="2058" max="2300" width="8.58203125" style="128"/>
    <col min="2301" max="2301" width="9.83203125" style="128" bestFit="1" customWidth="1"/>
    <col min="2302" max="2302" width="8.33203125" style="128" bestFit="1" customWidth="1"/>
    <col min="2303" max="2303" width="18.58203125" style="128" customWidth="1"/>
    <col min="2304" max="2304" width="17.08203125" style="128" customWidth="1"/>
    <col min="2305" max="2305" width="14.58203125" style="128" bestFit="1" customWidth="1"/>
    <col min="2306" max="2306" width="8.58203125" style="128"/>
    <col min="2307" max="2307" width="3.83203125" style="128" customWidth="1"/>
    <col min="2308" max="2308" width="14.5" style="128" bestFit="1" customWidth="1"/>
    <col min="2309" max="2309" width="7.08203125" style="128" bestFit="1" customWidth="1"/>
    <col min="2310" max="2310" width="8.58203125" style="128" bestFit="1" customWidth="1"/>
    <col min="2311" max="2311" width="5" style="128" bestFit="1" customWidth="1"/>
    <col min="2312" max="2312" width="13.5" style="128" bestFit="1" customWidth="1"/>
    <col min="2313" max="2313" width="12" style="128" customWidth="1"/>
    <col min="2314" max="2556" width="8.58203125" style="128"/>
    <col min="2557" max="2557" width="9.83203125" style="128" bestFit="1" customWidth="1"/>
    <col min="2558" max="2558" width="8.33203125" style="128" bestFit="1" customWidth="1"/>
    <col min="2559" max="2559" width="18.58203125" style="128" customWidth="1"/>
    <col min="2560" max="2560" width="17.08203125" style="128" customWidth="1"/>
    <col min="2561" max="2561" width="14.58203125" style="128" bestFit="1" customWidth="1"/>
    <col min="2562" max="2562" width="8.58203125" style="128"/>
    <col min="2563" max="2563" width="3.83203125" style="128" customWidth="1"/>
    <col min="2564" max="2564" width="14.5" style="128" bestFit="1" customWidth="1"/>
    <col min="2565" max="2565" width="7.08203125" style="128" bestFit="1" customWidth="1"/>
    <col min="2566" max="2566" width="8.58203125" style="128" bestFit="1" customWidth="1"/>
    <col min="2567" max="2567" width="5" style="128" bestFit="1" customWidth="1"/>
    <col min="2568" max="2568" width="13.5" style="128" bestFit="1" customWidth="1"/>
    <col min="2569" max="2569" width="12" style="128" customWidth="1"/>
    <col min="2570" max="2812" width="8.58203125" style="128"/>
    <col min="2813" max="2813" width="9.83203125" style="128" bestFit="1" customWidth="1"/>
    <col min="2814" max="2814" width="8.33203125" style="128" bestFit="1" customWidth="1"/>
    <col min="2815" max="2815" width="18.58203125" style="128" customWidth="1"/>
    <col min="2816" max="2816" width="17.08203125" style="128" customWidth="1"/>
    <col min="2817" max="2817" width="14.58203125" style="128" bestFit="1" customWidth="1"/>
    <col min="2818" max="2818" width="8.58203125" style="128"/>
    <col min="2819" max="2819" width="3.83203125" style="128" customWidth="1"/>
    <col min="2820" max="2820" width="14.5" style="128" bestFit="1" customWidth="1"/>
    <col min="2821" max="2821" width="7.08203125" style="128" bestFit="1" customWidth="1"/>
    <col min="2822" max="2822" width="8.58203125" style="128" bestFit="1" customWidth="1"/>
    <col min="2823" max="2823" width="5" style="128" bestFit="1" customWidth="1"/>
    <col min="2824" max="2824" width="13.5" style="128" bestFit="1" customWidth="1"/>
    <col min="2825" max="2825" width="12" style="128" customWidth="1"/>
    <col min="2826" max="3068" width="8.58203125" style="128"/>
    <col min="3069" max="3069" width="9.83203125" style="128" bestFit="1" customWidth="1"/>
    <col min="3070" max="3070" width="8.33203125" style="128" bestFit="1" customWidth="1"/>
    <col min="3071" max="3071" width="18.58203125" style="128" customWidth="1"/>
    <col min="3072" max="3072" width="17.08203125" style="128" customWidth="1"/>
    <col min="3073" max="3073" width="14.58203125" style="128" bestFit="1" customWidth="1"/>
    <col min="3074" max="3074" width="8.58203125" style="128"/>
    <col min="3075" max="3075" width="3.83203125" style="128" customWidth="1"/>
    <col min="3076" max="3076" width="14.5" style="128" bestFit="1" customWidth="1"/>
    <col min="3077" max="3077" width="7.08203125" style="128" bestFit="1" customWidth="1"/>
    <col min="3078" max="3078" width="8.58203125" style="128" bestFit="1" customWidth="1"/>
    <col min="3079" max="3079" width="5" style="128" bestFit="1" customWidth="1"/>
    <col min="3080" max="3080" width="13.5" style="128" bestFit="1" customWidth="1"/>
    <col min="3081" max="3081" width="12" style="128" customWidth="1"/>
    <col min="3082" max="3324" width="8.58203125" style="128"/>
    <col min="3325" max="3325" width="9.83203125" style="128" bestFit="1" customWidth="1"/>
    <col min="3326" max="3326" width="8.33203125" style="128" bestFit="1" customWidth="1"/>
    <col min="3327" max="3327" width="18.58203125" style="128" customWidth="1"/>
    <col min="3328" max="3328" width="17.08203125" style="128" customWidth="1"/>
    <col min="3329" max="3329" width="14.58203125" style="128" bestFit="1" customWidth="1"/>
    <col min="3330" max="3330" width="8.58203125" style="128"/>
    <col min="3331" max="3331" width="3.83203125" style="128" customWidth="1"/>
    <col min="3332" max="3332" width="14.5" style="128" bestFit="1" customWidth="1"/>
    <col min="3333" max="3333" width="7.08203125" style="128" bestFit="1" customWidth="1"/>
    <col min="3334" max="3334" width="8.58203125" style="128" bestFit="1" customWidth="1"/>
    <col min="3335" max="3335" width="5" style="128" bestFit="1" customWidth="1"/>
    <col min="3336" max="3336" width="13.5" style="128" bestFit="1" customWidth="1"/>
    <col min="3337" max="3337" width="12" style="128" customWidth="1"/>
    <col min="3338" max="3580" width="8.58203125" style="128"/>
    <col min="3581" max="3581" width="9.83203125" style="128" bestFit="1" customWidth="1"/>
    <col min="3582" max="3582" width="8.33203125" style="128" bestFit="1" customWidth="1"/>
    <col min="3583" max="3583" width="18.58203125" style="128" customWidth="1"/>
    <col min="3584" max="3584" width="17.08203125" style="128" customWidth="1"/>
    <col min="3585" max="3585" width="14.58203125" style="128" bestFit="1" customWidth="1"/>
    <col min="3586" max="3586" width="8.58203125" style="128"/>
    <col min="3587" max="3587" width="3.83203125" style="128" customWidth="1"/>
    <col min="3588" max="3588" width="14.5" style="128" bestFit="1" customWidth="1"/>
    <col min="3589" max="3589" width="7.08203125" style="128" bestFit="1" customWidth="1"/>
    <col min="3590" max="3590" width="8.58203125" style="128" bestFit="1" customWidth="1"/>
    <col min="3591" max="3591" width="5" style="128" bestFit="1" customWidth="1"/>
    <col min="3592" max="3592" width="13.5" style="128" bestFit="1" customWidth="1"/>
    <col min="3593" max="3593" width="12" style="128" customWidth="1"/>
    <col min="3594" max="3836" width="8.58203125" style="128"/>
    <col min="3837" max="3837" width="9.83203125" style="128" bestFit="1" customWidth="1"/>
    <col min="3838" max="3838" width="8.33203125" style="128" bestFit="1" customWidth="1"/>
    <col min="3839" max="3839" width="18.58203125" style="128" customWidth="1"/>
    <col min="3840" max="3840" width="17.08203125" style="128" customWidth="1"/>
    <col min="3841" max="3841" width="14.58203125" style="128" bestFit="1" customWidth="1"/>
    <col min="3842" max="3842" width="8.58203125" style="128"/>
    <col min="3843" max="3843" width="3.83203125" style="128" customWidth="1"/>
    <col min="3844" max="3844" width="14.5" style="128" bestFit="1" customWidth="1"/>
    <col min="3845" max="3845" width="7.08203125" style="128" bestFit="1" customWidth="1"/>
    <col min="3846" max="3846" width="8.58203125" style="128" bestFit="1" customWidth="1"/>
    <col min="3847" max="3847" width="5" style="128" bestFit="1" customWidth="1"/>
    <col min="3848" max="3848" width="13.5" style="128" bestFit="1" customWidth="1"/>
    <col min="3849" max="3849" width="12" style="128" customWidth="1"/>
    <col min="3850" max="4092" width="8.58203125" style="128"/>
    <col min="4093" max="4093" width="9.83203125" style="128" bestFit="1" customWidth="1"/>
    <col min="4094" max="4094" width="8.33203125" style="128" bestFit="1" customWidth="1"/>
    <col min="4095" max="4095" width="18.58203125" style="128" customWidth="1"/>
    <col min="4096" max="4096" width="17.08203125" style="128" customWidth="1"/>
    <col min="4097" max="4097" width="14.58203125" style="128" bestFit="1" customWidth="1"/>
    <col min="4098" max="4098" width="8.58203125" style="128"/>
    <col min="4099" max="4099" width="3.83203125" style="128" customWidth="1"/>
    <col min="4100" max="4100" width="14.5" style="128" bestFit="1" customWidth="1"/>
    <col min="4101" max="4101" width="7.08203125" style="128" bestFit="1" customWidth="1"/>
    <col min="4102" max="4102" width="8.58203125" style="128" bestFit="1" customWidth="1"/>
    <col min="4103" max="4103" width="5" style="128" bestFit="1" customWidth="1"/>
    <col min="4104" max="4104" width="13.5" style="128" bestFit="1" customWidth="1"/>
    <col min="4105" max="4105" width="12" style="128" customWidth="1"/>
    <col min="4106" max="4348" width="8.58203125" style="128"/>
    <col min="4349" max="4349" width="9.83203125" style="128" bestFit="1" customWidth="1"/>
    <col min="4350" max="4350" width="8.33203125" style="128" bestFit="1" customWidth="1"/>
    <col min="4351" max="4351" width="18.58203125" style="128" customWidth="1"/>
    <col min="4352" max="4352" width="17.08203125" style="128" customWidth="1"/>
    <col min="4353" max="4353" width="14.58203125" style="128" bestFit="1" customWidth="1"/>
    <col min="4354" max="4354" width="8.58203125" style="128"/>
    <col min="4355" max="4355" width="3.83203125" style="128" customWidth="1"/>
    <col min="4356" max="4356" width="14.5" style="128" bestFit="1" customWidth="1"/>
    <col min="4357" max="4357" width="7.08203125" style="128" bestFit="1" customWidth="1"/>
    <col min="4358" max="4358" width="8.58203125" style="128" bestFit="1" customWidth="1"/>
    <col min="4359" max="4359" width="5" style="128" bestFit="1" customWidth="1"/>
    <col min="4360" max="4360" width="13.5" style="128" bestFit="1" customWidth="1"/>
    <col min="4361" max="4361" width="12" style="128" customWidth="1"/>
    <col min="4362" max="4604" width="8.58203125" style="128"/>
    <col min="4605" max="4605" width="9.83203125" style="128" bestFit="1" customWidth="1"/>
    <col min="4606" max="4606" width="8.33203125" style="128" bestFit="1" customWidth="1"/>
    <col min="4607" max="4607" width="18.58203125" style="128" customWidth="1"/>
    <col min="4608" max="4608" width="17.08203125" style="128" customWidth="1"/>
    <col min="4609" max="4609" width="14.58203125" style="128" bestFit="1" customWidth="1"/>
    <col min="4610" max="4610" width="8.58203125" style="128"/>
    <col min="4611" max="4611" width="3.83203125" style="128" customWidth="1"/>
    <col min="4612" max="4612" width="14.5" style="128" bestFit="1" customWidth="1"/>
    <col min="4613" max="4613" width="7.08203125" style="128" bestFit="1" customWidth="1"/>
    <col min="4614" max="4614" width="8.58203125" style="128" bestFit="1" customWidth="1"/>
    <col min="4615" max="4615" width="5" style="128" bestFit="1" customWidth="1"/>
    <col min="4616" max="4616" width="13.5" style="128" bestFit="1" customWidth="1"/>
    <col min="4617" max="4617" width="12" style="128" customWidth="1"/>
    <col min="4618" max="4860" width="8.58203125" style="128"/>
    <col min="4861" max="4861" width="9.83203125" style="128" bestFit="1" customWidth="1"/>
    <col min="4862" max="4862" width="8.33203125" style="128" bestFit="1" customWidth="1"/>
    <col min="4863" max="4863" width="18.58203125" style="128" customWidth="1"/>
    <col min="4864" max="4864" width="17.08203125" style="128" customWidth="1"/>
    <col min="4865" max="4865" width="14.58203125" style="128" bestFit="1" customWidth="1"/>
    <col min="4866" max="4866" width="8.58203125" style="128"/>
    <col min="4867" max="4867" width="3.83203125" style="128" customWidth="1"/>
    <col min="4868" max="4868" width="14.5" style="128" bestFit="1" customWidth="1"/>
    <col min="4869" max="4869" width="7.08203125" style="128" bestFit="1" customWidth="1"/>
    <col min="4870" max="4870" width="8.58203125" style="128" bestFit="1" customWidth="1"/>
    <col min="4871" max="4871" width="5" style="128" bestFit="1" customWidth="1"/>
    <col min="4872" max="4872" width="13.5" style="128" bestFit="1" customWidth="1"/>
    <col min="4873" max="4873" width="12" style="128" customWidth="1"/>
    <col min="4874" max="5116" width="8.58203125" style="128"/>
    <col min="5117" max="5117" width="9.83203125" style="128" bestFit="1" customWidth="1"/>
    <col min="5118" max="5118" width="8.33203125" style="128" bestFit="1" customWidth="1"/>
    <col min="5119" max="5119" width="18.58203125" style="128" customWidth="1"/>
    <col min="5120" max="5120" width="17.08203125" style="128" customWidth="1"/>
    <col min="5121" max="5121" width="14.58203125" style="128" bestFit="1" customWidth="1"/>
    <col min="5122" max="5122" width="8.58203125" style="128"/>
    <col min="5123" max="5123" width="3.83203125" style="128" customWidth="1"/>
    <col min="5124" max="5124" width="14.5" style="128" bestFit="1" customWidth="1"/>
    <col min="5125" max="5125" width="7.08203125" style="128" bestFit="1" customWidth="1"/>
    <col min="5126" max="5126" width="8.58203125" style="128" bestFit="1" customWidth="1"/>
    <col min="5127" max="5127" width="5" style="128" bestFit="1" customWidth="1"/>
    <col min="5128" max="5128" width="13.5" style="128" bestFit="1" customWidth="1"/>
    <col min="5129" max="5129" width="12" style="128" customWidth="1"/>
    <col min="5130" max="5372" width="8.58203125" style="128"/>
    <col min="5373" max="5373" width="9.83203125" style="128" bestFit="1" customWidth="1"/>
    <col min="5374" max="5374" width="8.33203125" style="128" bestFit="1" customWidth="1"/>
    <col min="5375" max="5375" width="18.58203125" style="128" customWidth="1"/>
    <col min="5376" max="5376" width="17.08203125" style="128" customWidth="1"/>
    <col min="5377" max="5377" width="14.58203125" style="128" bestFit="1" customWidth="1"/>
    <col min="5378" max="5378" width="8.58203125" style="128"/>
    <col min="5379" max="5379" width="3.83203125" style="128" customWidth="1"/>
    <col min="5380" max="5380" width="14.5" style="128" bestFit="1" customWidth="1"/>
    <col min="5381" max="5381" width="7.08203125" style="128" bestFit="1" customWidth="1"/>
    <col min="5382" max="5382" width="8.58203125" style="128" bestFit="1" customWidth="1"/>
    <col min="5383" max="5383" width="5" style="128" bestFit="1" customWidth="1"/>
    <col min="5384" max="5384" width="13.5" style="128" bestFit="1" customWidth="1"/>
    <col min="5385" max="5385" width="12" style="128" customWidth="1"/>
    <col min="5386" max="5628" width="8.58203125" style="128"/>
    <col min="5629" max="5629" width="9.83203125" style="128" bestFit="1" customWidth="1"/>
    <col min="5630" max="5630" width="8.33203125" style="128" bestFit="1" customWidth="1"/>
    <col min="5631" max="5631" width="18.58203125" style="128" customWidth="1"/>
    <col min="5632" max="5632" width="17.08203125" style="128" customWidth="1"/>
    <col min="5633" max="5633" width="14.58203125" style="128" bestFit="1" customWidth="1"/>
    <col min="5634" max="5634" width="8.58203125" style="128"/>
    <col min="5635" max="5635" width="3.83203125" style="128" customWidth="1"/>
    <col min="5636" max="5636" width="14.5" style="128" bestFit="1" customWidth="1"/>
    <col min="5637" max="5637" width="7.08203125" style="128" bestFit="1" customWidth="1"/>
    <col min="5638" max="5638" width="8.58203125" style="128" bestFit="1" customWidth="1"/>
    <col min="5639" max="5639" width="5" style="128" bestFit="1" customWidth="1"/>
    <col min="5640" max="5640" width="13.5" style="128" bestFit="1" customWidth="1"/>
    <col min="5641" max="5641" width="12" style="128" customWidth="1"/>
    <col min="5642" max="5884" width="8.58203125" style="128"/>
    <col min="5885" max="5885" width="9.83203125" style="128" bestFit="1" customWidth="1"/>
    <col min="5886" max="5886" width="8.33203125" style="128" bestFit="1" customWidth="1"/>
    <col min="5887" max="5887" width="18.58203125" style="128" customWidth="1"/>
    <col min="5888" max="5888" width="17.08203125" style="128" customWidth="1"/>
    <col min="5889" max="5889" width="14.58203125" style="128" bestFit="1" customWidth="1"/>
    <col min="5890" max="5890" width="8.58203125" style="128"/>
    <col min="5891" max="5891" width="3.83203125" style="128" customWidth="1"/>
    <col min="5892" max="5892" width="14.5" style="128" bestFit="1" customWidth="1"/>
    <col min="5893" max="5893" width="7.08203125" style="128" bestFit="1" customWidth="1"/>
    <col min="5894" max="5894" width="8.58203125" style="128" bestFit="1" customWidth="1"/>
    <col min="5895" max="5895" width="5" style="128" bestFit="1" customWidth="1"/>
    <col min="5896" max="5896" width="13.5" style="128" bestFit="1" customWidth="1"/>
    <col min="5897" max="5897" width="12" style="128" customWidth="1"/>
    <col min="5898" max="6140" width="8.58203125" style="128"/>
    <col min="6141" max="6141" width="9.83203125" style="128" bestFit="1" customWidth="1"/>
    <col min="6142" max="6142" width="8.33203125" style="128" bestFit="1" customWidth="1"/>
    <col min="6143" max="6143" width="18.58203125" style="128" customWidth="1"/>
    <col min="6144" max="6144" width="17.08203125" style="128" customWidth="1"/>
    <col min="6145" max="6145" width="14.58203125" style="128" bestFit="1" customWidth="1"/>
    <col min="6146" max="6146" width="8.58203125" style="128"/>
    <col min="6147" max="6147" width="3.83203125" style="128" customWidth="1"/>
    <col min="6148" max="6148" width="14.5" style="128" bestFit="1" customWidth="1"/>
    <col min="6149" max="6149" width="7.08203125" style="128" bestFit="1" customWidth="1"/>
    <col min="6150" max="6150" width="8.58203125" style="128" bestFit="1" customWidth="1"/>
    <col min="6151" max="6151" width="5" style="128" bestFit="1" customWidth="1"/>
    <col min="6152" max="6152" width="13.5" style="128" bestFit="1" customWidth="1"/>
    <col min="6153" max="6153" width="12" style="128" customWidth="1"/>
    <col min="6154" max="6396" width="8.58203125" style="128"/>
    <col min="6397" max="6397" width="9.83203125" style="128" bestFit="1" customWidth="1"/>
    <col min="6398" max="6398" width="8.33203125" style="128" bestFit="1" customWidth="1"/>
    <col min="6399" max="6399" width="18.58203125" style="128" customWidth="1"/>
    <col min="6400" max="6400" width="17.08203125" style="128" customWidth="1"/>
    <col min="6401" max="6401" width="14.58203125" style="128" bestFit="1" customWidth="1"/>
    <col min="6402" max="6402" width="8.58203125" style="128"/>
    <col min="6403" max="6403" width="3.83203125" style="128" customWidth="1"/>
    <col min="6404" max="6404" width="14.5" style="128" bestFit="1" customWidth="1"/>
    <col min="6405" max="6405" width="7.08203125" style="128" bestFit="1" customWidth="1"/>
    <col min="6406" max="6406" width="8.58203125" style="128" bestFit="1" customWidth="1"/>
    <col min="6407" max="6407" width="5" style="128" bestFit="1" customWidth="1"/>
    <col min="6408" max="6408" width="13.5" style="128" bestFit="1" customWidth="1"/>
    <col min="6409" max="6409" width="12" style="128" customWidth="1"/>
    <col min="6410" max="6652" width="8.58203125" style="128"/>
    <col min="6653" max="6653" width="9.83203125" style="128" bestFit="1" customWidth="1"/>
    <col min="6654" max="6654" width="8.33203125" style="128" bestFit="1" customWidth="1"/>
    <col min="6655" max="6655" width="18.58203125" style="128" customWidth="1"/>
    <col min="6656" max="6656" width="17.08203125" style="128" customWidth="1"/>
    <col min="6657" max="6657" width="14.58203125" style="128" bestFit="1" customWidth="1"/>
    <col min="6658" max="6658" width="8.58203125" style="128"/>
    <col min="6659" max="6659" width="3.83203125" style="128" customWidth="1"/>
    <col min="6660" max="6660" width="14.5" style="128" bestFit="1" customWidth="1"/>
    <col min="6661" max="6661" width="7.08203125" style="128" bestFit="1" customWidth="1"/>
    <col min="6662" max="6662" width="8.58203125" style="128" bestFit="1" customWidth="1"/>
    <col min="6663" max="6663" width="5" style="128" bestFit="1" customWidth="1"/>
    <col min="6664" max="6664" width="13.5" style="128" bestFit="1" customWidth="1"/>
    <col min="6665" max="6665" width="12" style="128" customWidth="1"/>
    <col min="6666" max="6908" width="8.58203125" style="128"/>
    <col min="6909" max="6909" width="9.83203125" style="128" bestFit="1" customWidth="1"/>
    <col min="6910" max="6910" width="8.33203125" style="128" bestFit="1" customWidth="1"/>
    <col min="6911" max="6911" width="18.58203125" style="128" customWidth="1"/>
    <col min="6912" max="6912" width="17.08203125" style="128" customWidth="1"/>
    <col min="6913" max="6913" width="14.58203125" style="128" bestFit="1" customWidth="1"/>
    <col min="6914" max="6914" width="8.58203125" style="128"/>
    <col min="6915" max="6915" width="3.83203125" style="128" customWidth="1"/>
    <col min="6916" max="6916" width="14.5" style="128" bestFit="1" customWidth="1"/>
    <col min="6917" max="6917" width="7.08203125" style="128" bestFit="1" customWidth="1"/>
    <col min="6918" max="6918" width="8.58203125" style="128" bestFit="1" customWidth="1"/>
    <col min="6919" max="6919" width="5" style="128" bestFit="1" customWidth="1"/>
    <col min="6920" max="6920" width="13.5" style="128" bestFit="1" customWidth="1"/>
    <col min="6921" max="6921" width="12" style="128" customWidth="1"/>
    <col min="6922" max="7164" width="8.58203125" style="128"/>
    <col min="7165" max="7165" width="9.83203125" style="128" bestFit="1" customWidth="1"/>
    <col min="7166" max="7166" width="8.33203125" style="128" bestFit="1" customWidth="1"/>
    <col min="7167" max="7167" width="18.58203125" style="128" customWidth="1"/>
    <col min="7168" max="7168" width="17.08203125" style="128" customWidth="1"/>
    <col min="7169" max="7169" width="14.58203125" style="128" bestFit="1" customWidth="1"/>
    <col min="7170" max="7170" width="8.58203125" style="128"/>
    <col min="7171" max="7171" width="3.83203125" style="128" customWidth="1"/>
    <col min="7172" max="7172" width="14.5" style="128" bestFit="1" customWidth="1"/>
    <col min="7173" max="7173" width="7.08203125" style="128" bestFit="1" customWidth="1"/>
    <col min="7174" max="7174" width="8.58203125" style="128" bestFit="1" customWidth="1"/>
    <col min="7175" max="7175" width="5" style="128" bestFit="1" customWidth="1"/>
    <col min="7176" max="7176" width="13.5" style="128" bestFit="1" customWidth="1"/>
    <col min="7177" max="7177" width="12" style="128" customWidth="1"/>
    <col min="7178" max="7420" width="8.58203125" style="128"/>
    <col min="7421" max="7421" width="9.83203125" style="128" bestFit="1" customWidth="1"/>
    <col min="7422" max="7422" width="8.33203125" style="128" bestFit="1" customWidth="1"/>
    <col min="7423" max="7423" width="18.58203125" style="128" customWidth="1"/>
    <col min="7424" max="7424" width="17.08203125" style="128" customWidth="1"/>
    <col min="7425" max="7425" width="14.58203125" style="128" bestFit="1" customWidth="1"/>
    <col min="7426" max="7426" width="8.58203125" style="128"/>
    <col min="7427" max="7427" width="3.83203125" style="128" customWidth="1"/>
    <col min="7428" max="7428" width="14.5" style="128" bestFit="1" customWidth="1"/>
    <col min="7429" max="7429" width="7.08203125" style="128" bestFit="1" customWidth="1"/>
    <col min="7430" max="7430" width="8.58203125" style="128" bestFit="1" customWidth="1"/>
    <col min="7431" max="7431" width="5" style="128" bestFit="1" customWidth="1"/>
    <col min="7432" max="7432" width="13.5" style="128" bestFit="1" customWidth="1"/>
    <col min="7433" max="7433" width="12" style="128" customWidth="1"/>
    <col min="7434" max="7676" width="8.58203125" style="128"/>
    <col min="7677" max="7677" width="9.83203125" style="128" bestFit="1" customWidth="1"/>
    <col min="7678" max="7678" width="8.33203125" style="128" bestFit="1" customWidth="1"/>
    <col min="7679" max="7679" width="18.58203125" style="128" customWidth="1"/>
    <col min="7680" max="7680" width="17.08203125" style="128" customWidth="1"/>
    <col min="7681" max="7681" width="14.58203125" style="128" bestFit="1" customWidth="1"/>
    <col min="7682" max="7682" width="8.58203125" style="128"/>
    <col min="7683" max="7683" width="3.83203125" style="128" customWidth="1"/>
    <col min="7684" max="7684" width="14.5" style="128" bestFit="1" customWidth="1"/>
    <col min="7685" max="7685" width="7.08203125" style="128" bestFit="1" customWidth="1"/>
    <col min="7686" max="7686" width="8.58203125" style="128" bestFit="1" customWidth="1"/>
    <col min="7687" max="7687" width="5" style="128" bestFit="1" customWidth="1"/>
    <col min="7688" max="7688" width="13.5" style="128" bestFit="1" customWidth="1"/>
    <col min="7689" max="7689" width="12" style="128" customWidth="1"/>
    <col min="7690" max="7932" width="8.58203125" style="128"/>
    <col min="7933" max="7933" width="9.83203125" style="128" bestFit="1" customWidth="1"/>
    <col min="7934" max="7934" width="8.33203125" style="128" bestFit="1" customWidth="1"/>
    <col min="7935" max="7935" width="18.58203125" style="128" customWidth="1"/>
    <col min="7936" max="7936" width="17.08203125" style="128" customWidth="1"/>
    <col min="7937" max="7937" width="14.58203125" style="128" bestFit="1" customWidth="1"/>
    <col min="7938" max="7938" width="8.58203125" style="128"/>
    <col min="7939" max="7939" width="3.83203125" style="128" customWidth="1"/>
    <col min="7940" max="7940" width="14.5" style="128" bestFit="1" customWidth="1"/>
    <col min="7941" max="7941" width="7.08203125" style="128" bestFit="1" customWidth="1"/>
    <col min="7942" max="7942" width="8.58203125" style="128" bestFit="1" customWidth="1"/>
    <col min="7943" max="7943" width="5" style="128" bestFit="1" customWidth="1"/>
    <col min="7944" max="7944" width="13.5" style="128" bestFit="1" customWidth="1"/>
    <col min="7945" max="7945" width="12" style="128" customWidth="1"/>
    <col min="7946" max="8188" width="8.58203125" style="128"/>
    <col min="8189" max="8189" width="9.83203125" style="128" bestFit="1" customWidth="1"/>
    <col min="8190" max="8190" width="8.33203125" style="128" bestFit="1" customWidth="1"/>
    <col min="8191" max="8191" width="18.58203125" style="128" customWidth="1"/>
    <col min="8192" max="8192" width="17.08203125" style="128" customWidth="1"/>
    <col min="8193" max="8193" width="14.58203125" style="128" bestFit="1" customWidth="1"/>
    <col min="8194" max="8194" width="8.58203125" style="128"/>
    <col min="8195" max="8195" width="3.83203125" style="128" customWidth="1"/>
    <col min="8196" max="8196" width="14.5" style="128" bestFit="1" customWidth="1"/>
    <col min="8197" max="8197" width="7.08203125" style="128" bestFit="1" customWidth="1"/>
    <col min="8198" max="8198" width="8.58203125" style="128" bestFit="1" customWidth="1"/>
    <col min="8199" max="8199" width="5" style="128" bestFit="1" customWidth="1"/>
    <col min="8200" max="8200" width="13.5" style="128" bestFit="1" customWidth="1"/>
    <col min="8201" max="8201" width="12" style="128" customWidth="1"/>
    <col min="8202" max="8444" width="8.58203125" style="128"/>
    <col min="8445" max="8445" width="9.83203125" style="128" bestFit="1" customWidth="1"/>
    <col min="8446" max="8446" width="8.33203125" style="128" bestFit="1" customWidth="1"/>
    <col min="8447" max="8447" width="18.58203125" style="128" customWidth="1"/>
    <col min="8448" max="8448" width="17.08203125" style="128" customWidth="1"/>
    <col min="8449" max="8449" width="14.58203125" style="128" bestFit="1" customWidth="1"/>
    <col min="8450" max="8450" width="8.58203125" style="128"/>
    <col min="8451" max="8451" width="3.83203125" style="128" customWidth="1"/>
    <col min="8452" max="8452" width="14.5" style="128" bestFit="1" customWidth="1"/>
    <col min="8453" max="8453" width="7.08203125" style="128" bestFit="1" customWidth="1"/>
    <col min="8454" max="8454" width="8.58203125" style="128" bestFit="1" customWidth="1"/>
    <col min="8455" max="8455" width="5" style="128" bestFit="1" customWidth="1"/>
    <col min="8456" max="8456" width="13.5" style="128" bestFit="1" customWidth="1"/>
    <col min="8457" max="8457" width="12" style="128" customWidth="1"/>
    <col min="8458" max="8700" width="8.58203125" style="128"/>
    <col min="8701" max="8701" width="9.83203125" style="128" bestFit="1" customWidth="1"/>
    <col min="8702" max="8702" width="8.33203125" style="128" bestFit="1" customWidth="1"/>
    <col min="8703" max="8703" width="18.58203125" style="128" customWidth="1"/>
    <col min="8704" max="8704" width="17.08203125" style="128" customWidth="1"/>
    <col min="8705" max="8705" width="14.58203125" style="128" bestFit="1" customWidth="1"/>
    <col min="8706" max="8706" width="8.58203125" style="128"/>
    <col min="8707" max="8707" width="3.83203125" style="128" customWidth="1"/>
    <col min="8708" max="8708" width="14.5" style="128" bestFit="1" customWidth="1"/>
    <col min="8709" max="8709" width="7.08203125" style="128" bestFit="1" customWidth="1"/>
    <col min="8710" max="8710" width="8.58203125" style="128" bestFit="1" customWidth="1"/>
    <col min="8711" max="8711" width="5" style="128" bestFit="1" customWidth="1"/>
    <col min="8712" max="8712" width="13.5" style="128" bestFit="1" customWidth="1"/>
    <col min="8713" max="8713" width="12" style="128" customWidth="1"/>
    <col min="8714" max="8956" width="8.58203125" style="128"/>
    <col min="8957" max="8957" width="9.83203125" style="128" bestFit="1" customWidth="1"/>
    <col min="8958" max="8958" width="8.33203125" style="128" bestFit="1" customWidth="1"/>
    <col min="8959" max="8959" width="18.58203125" style="128" customWidth="1"/>
    <col min="8960" max="8960" width="17.08203125" style="128" customWidth="1"/>
    <col min="8961" max="8961" width="14.58203125" style="128" bestFit="1" customWidth="1"/>
    <col min="8962" max="8962" width="8.58203125" style="128"/>
    <col min="8963" max="8963" width="3.83203125" style="128" customWidth="1"/>
    <col min="8964" max="8964" width="14.5" style="128" bestFit="1" customWidth="1"/>
    <col min="8965" max="8965" width="7.08203125" style="128" bestFit="1" customWidth="1"/>
    <col min="8966" max="8966" width="8.58203125" style="128" bestFit="1" customWidth="1"/>
    <col min="8967" max="8967" width="5" style="128" bestFit="1" customWidth="1"/>
    <col min="8968" max="8968" width="13.5" style="128" bestFit="1" customWidth="1"/>
    <col min="8969" max="8969" width="12" style="128" customWidth="1"/>
    <col min="8970" max="9212" width="8.58203125" style="128"/>
    <col min="9213" max="9213" width="9.83203125" style="128" bestFit="1" customWidth="1"/>
    <col min="9214" max="9214" width="8.33203125" style="128" bestFit="1" customWidth="1"/>
    <col min="9215" max="9215" width="18.58203125" style="128" customWidth="1"/>
    <col min="9216" max="9216" width="17.08203125" style="128" customWidth="1"/>
    <col min="9217" max="9217" width="14.58203125" style="128" bestFit="1" customWidth="1"/>
    <col min="9218" max="9218" width="8.58203125" style="128"/>
    <col min="9219" max="9219" width="3.83203125" style="128" customWidth="1"/>
    <col min="9220" max="9220" width="14.5" style="128" bestFit="1" customWidth="1"/>
    <col min="9221" max="9221" width="7.08203125" style="128" bestFit="1" customWidth="1"/>
    <col min="9222" max="9222" width="8.58203125" style="128" bestFit="1" customWidth="1"/>
    <col min="9223" max="9223" width="5" style="128" bestFit="1" customWidth="1"/>
    <col min="9224" max="9224" width="13.5" style="128" bestFit="1" customWidth="1"/>
    <col min="9225" max="9225" width="12" style="128" customWidth="1"/>
    <col min="9226" max="9468" width="8.58203125" style="128"/>
    <col min="9469" max="9469" width="9.83203125" style="128" bestFit="1" customWidth="1"/>
    <col min="9470" max="9470" width="8.33203125" style="128" bestFit="1" customWidth="1"/>
    <col min="9471" max="9471" width="18.58203125" style="128" customWidth="1"/>
    <col min="9472" max="9472" width="17.08203125" style="128" customWidth="1"/>
    <col min="9473" max="9473" width="14.58203125" style="128" bestFit="1" customWidth="1"/>
    <col min="9474" max="9474" width="8.58203125" style="128"/>
    <col min="9475" max="9475" width="3.83203125" style="128" customWidth="1"/>
    <col min="9476" max="9476" width="14.5" style="128" bestFit="1" customWidth="1"/>
    <col min="9477" max="9477" width="7.08203125" style="128" bestFit="1" customWidth="1"/>
    <col min="9478" max="9478" width="8.58203125" style="128" bestFit="1" customWidth="1"/>
    <col min="9479" max="9479" width="5" style="128" bestFit="1" customWidth="1"/>
    <col min="9480" max="9480" width="13.5" style="128" bestFit="1" customWidth="1"/>
    <col min="9481" max="9481" width="12" style="128" customWidth="1"/>
    <col min="9482" max="9724" width="8.58203125" style="128"/>
    <col min="9725" max="9725" width="9.83203125" style="128" bestFit="1" customWidth="1"/>
    <col min="9726" max="9726" width="8.33203125" style="128" bestFit="1" customWidth="1"/>
    <col min="9727" max="9727" width="18.58203125" style="128" customWidth="1"/>
    <col min="9728" max="9728" width="17.08203125" style="128" customWidth="1"/>
    <col min="9729" max="9729" width="14.58203125" style="128" bestFit="1" customWidth="1"/>
    <col min="9730" max="9730" width="8.58203125" style="128"/>
    <col min="9731" max="9731" width="3.83203125" style="128" customWidth="1"/>
    <col min="9732" max="9732" width="14.5" style="128" bestFit="1" customWidth="1"/>
    <col min="9733" max="9733" width="7.08203125" style="128" bestFit="1" customWidth="1"/>
    <col min="9734" max="9734" width="8.58203125" style="128" bestFit="1" customWidth="1"/>
    <col min="9735" max="9735" width="5" style="128" bestFit="1" customWidth="1"/>
    <col min="9736" max="9736" width="13.5" style="128" bestFit="1" customWidth="1"/>
    <col min="9737" max="9737" width="12" style="128" customWidth="1"/>
    <col min="9738" max="9980" width="8.58203125" style="128"/>
    <col min="9981" max="9981" width="9.83203125" style="128" bestFit="1" customWidth="1"/>
    <col min="9982" max="9982" width="8.33203125" style="128" bestFit="1" customWidth="1"/>
    <col min="9983" max="9983" width="18.58203125" style="128" customWidth="1"/>
    <col min="9984" max="9984" width="17.08203125" style="128" customWidth="1"/>
    <col min="9985" max="9985" width="14.58203125" style="128" bestFit="1" customWidth="1"/>
    <col min="9986" max="9986" width="8.58203125" style="128"/>
    <col min="9987" max="9987" width="3.83203125" style="128" customWidth="1"/>
    <col min="9988" max="9988" width="14.5" style="128" bestFit="1" customWidth="1"/>
    <col min="9989" max="9989" width="7.08203125" style="128" bestFit="1" customWidth="1"/>
    <col min="9990" max="9990" width="8.58203125" style="128" bestFit="1" customWidth="1"/>
    <col min="9991" max="9991" width="5" style="128" bestFit="1" customWidth="1"/>
    <col min="9992" max="9992" width="13.5" style="128" bestFit="1" customWidth="1"/>
    <col min="9993" max="9993" width="12" style="128" customWidth="1"/>
    <col min="9994" max="10236" width="8.58203125" style="128"/>
    <col min="10237" max="10237" width="9.83203125" style="128" bestFit="1" customWidth="1"/>
    <col min="10238" max="10238" width="8.33203125" style="128" bestFit="1" customWidth="1"/>
    <col min="10239" max="10239" width="18.58203125" style="128" customWidth="1"/>
    <col min="10240" max="10240" width="17.08203125" style="128" customWidth="1"/>
    <col min="10241" max="10241" width="14.58203125" style="128" bestFit="1" customWidth="1"/>
    <col min="10242" max="10242" width="8.58203125" style="128"/>
    <col min="10243" max="10243" width="3.83203125" style="128" customWidth="1"/>
    <col min="10244" max="10244" width="14.5" style="128" bestFit="1" customWidth="1"/>
    <col min="10245" max="10245" width="7.08203125" style="128" bestFit="1" customWidth="1"/>
    <col min="10246" max="10246" width="8.58203125" style="128" bestFit="1" customWidth="1"/>
    <col min="10247" max="10247" width="5" style="128" bestFit="1" customWidth="1"/>
    <col min="10248" max="10248" width="13.5" style="128" bestFit="1" customWidth="1"/>
    <col min="10249" max="10249" width="12" style="128" customWidth="1"/>
    <col min="10250" max="10492" width="8.58203125" style="128"/>
    <col min="10493" max="10493" width="9.83203125" style="128" bestFit="1" customWidth="1"/>
    <col min="10494" max="10494" width="8.33203125" style="128" bestFit="1" customWidth="1"/>
    <col min="10495" max="10495" width="18.58203125" style="128" customWidth="1"/>
    <col min="10496" max="10496" width="17.08203125" style="128" customWidth="1"/>
    <col min="10497" max="10497" width="14.58203125" style="128" bestFit="1" customWidth="1"/>
    <col min="10498" max="10498" width="8.58203125" style="128"/>
    <col min="10499" max="10499" width="3.83203125" style="128" customWidth="1"/>
    <col min="10500" max="10500" width="14.5" style="128" bestFit="1" customWidth="1"/>
    <col min="10501" max="10501" width="7.08203125" style="128" bestFit="1" customWidth="1"/>
    <col min="10502" max="10502" width="8.58203125" style="128" bestFit="1" customWidth="1"/>
    <col min="10503" max="10503" width="5" style="128" bestFit="1" customWidth="1"/>
    <col min="10504" max="10504" width="13.5" style="128" bestFit="1" customWidth="1"/>
    <col min="10505" max="10505" width="12" style="128" customWidth="1"/>
    <col min="10506" max="10748" width="8.58203125" style="128"/>
    <col min="10749" max="10749" width="9.83203125" style="128" bestFit="1" customWidth="1"/>
    <col min="10750" max="10750" width="8.33203125" style="128" bestFit="1" customWidth="1"/>
    <col min="10751" max="10751" width="18.58203125" style="128" customWidth="1"/>
    <col min="10752" max="10752" width="17.08203125" style="128" customWidth="1"/>
    <col min="10753" max="10753" width="14.58203125" style="128" bestFit="1" customWidth="1"/>
    <col min="10754" max="10754" width="8.58203125" style="128"/>
    <col min="10755" max="10755" width="3.83203125" style="128" customWidth="1"/>
    <col min="10756" max="10756" width="14.5" style="128" bestFit="1" customWidth="1"/>
    <col min="10757" max="10757" width="7.08203125" style="128" bestFit="1" customWidth="1"/>
    <col min="10758" max="10758" width="8.58203125" style="128" bestFit="1" customWidth="1"/>
    <col min="10759" max="10759" width="5" style="128" bestFit="1" customWidth="1"/>
    <col min="10760" max="10760" width="13.5" style="128" bestFit="1" customWidth="1"/>
    <col min="10761" max="10761" width="12" style="128" customWidth="1"/>
    <col min="10762" max="11004" width="8.58203125" style="128"/>
    <col min="11005" max="11005" width="9.83203125" style="128" bestFit="1" customWidth="1"/>
    <col min="11006" max="11006" width="8.33203125" style="128" bestFit="1" customWidth="1"/>
    <col min="11007" max="11007" width="18.58203125" style="128" customWidth="1"/>
    <col min="11008" max="11008" width="17.08203125" style="128" customWidth="1"/>
    <col min="11009" max="11009" width="14.58203125" style="128" bestFit="1" customWidth="1"/>
    <col min="11010" max="11010" width="8.58203125" style="128"/>
    <col min="11011" max="11011" width="3.83203125" style="128" customWidth="1"/>
    <col min="11012" max="11012" width="14.5" style="128" bestFit="1" customWidth="1"/>
    <col min="11013" max="11013" width="7.08203125" style="128" bestFit="1" customWidth="1"/>
    <col min="11014" max="11014" width="8.58203125" style="128" bestFit="1" customWidth="1"/>
    <col min="11015" max="11015" width="5" style="128" bestFit="1" customWidth="1"/>
    <col min="11016" max="11016" width="13.5" style="128" bestFit="1" customWidth="1"/>
    <col min="11017" max="11017" width="12" style="128" customWidth="1"/>
    <col min="11018" max="11260" width="8.58203125" style="128"/>
    <col min="11261" max="11261" width="9.83203125" style="128" bestFit="1" customWidth="1"/>
    <col min="11262" max="11262" width="8.33203125" style="128" bestFit="1" customWidth="1"/>
    <col min="11263" max="11263" width="18.58203125" style="128" customWidth="1"/>
    <col min="11264" max="11264" width="17.08203125" style="128" customWidth="1"/>
    <col min="11265" max="11265" width="14.58203125" style="128" bestFit="1" customWidth="1"/>
    <col min="11266" max="11266" width="8.58203125" style="128"/>
    <col min="11267" max="11267" width="3.83203125" style="128" customWidth="1"/>
    <col min="11268" max="11268" width="14.5" style="128" bestFit="1" customWidth="1"/>
    <col min="11269" max="11269" width="7.08203125" style="128" bestFit="1" customWidth="1"/>
    <col min="11270" max="11270" width="8.58203125" style="128" bestFit="1" customWidth="1"/>
    <col min="11271" max="11271" width="5" style="128" bestFit="1" customWidth="1"/>
    <col min="11272" max="11272" width="13.5" style="128" bestFit="1" customWidth="1"/>
    <col min="11273" max="11273" width="12" style="128" customWidth="1"/>
    <col min="11274" max="11516" width="8.58203125" style="128"/>
    <col min="11517" max="11517" width="9.83203125" style="128" bestFit="1" customWidth="1"/>
    <col min="11518" max="11518" width="8.33203125" style="128" bestFit="1" customWidth="1"/>
    <col min="11519" max="11519" width="18.58203125" style="128" customWidth="1"/>
    <col min="11520" max="11520" width="17.08203125" style="128" customWidth="1"/>
    <col min="11521" max="11521" width="14.58203125" style="128" bestFit="1" customWidth="1"/>
    <col min="11522" max="11522" width="8.58203125" style="128"/>
    <col min="11523" max="11523" width="3.83203125" style="128" customWidth="1"/>
    <col min="11524" max="11524" width="14.5" style="128" bestFit="1" customWidth="1"/>
    <col min="11525" max="11525" width="7.08203125" style="128" bestFit="1" customWidth="1"/>
    <col min="11526" max="11526" width="8.58203125" style="128" bestFit="1" customWidth="1"/>
    <col min="11527" max="11527" width="5" style="128" bestFit="1" customWidth="1"/>
    <col min="11528" max="11528" width="13.5" style="128" bestFit="1" customWidth="1"/>
    <col min="11529" max="11529" width="12" style="128" customWidth="1"/>
    <col min="11530" max="11772" width="8.58203125" style="128"/>
    <col min="11773" max="11773" width="9.83203125" style="128" bestFit="1" customWidth="1"/>
    <col min="11774" max="11774" width="8.33203125" style="128" bestFit="1" customWidth="1"/>
    <col min="11775" max="11775" width="18.58203125" style="128" customWidth="1"/>
    <col min="11776" max="11776" width="17.08203125" style="128" customWidth="1"/>
    <col min="11777" max="11777" width="14.58203125" style="128" bestFit="1" customWidth="1"/>
    <col min="11778" max="11778" width="8.58203125" style="128"/>
    <col min="11779" max="11779" width="3.83203125" style="128" customWidth="1"/>
    <col min="11780" max="11780" width="14.5" style="128" bestFit="1" customWidth="1"/>
    <col min="11781" max="11781" width="7.08203125" style="128" bestFit="1" customWidth="1"/>
    <col min="11782" max="11782" width="8.58203125" style="128" bestFit="1" customWidth="1"/>
    <col min="11783" max="11783" width="5" style="128" bestFit="1" customWidth="1"/>
    <col min="11784" max="11784" width="13.5" style="128" bestFit="1" customWidth="1"/>
    <col min="11785" max="11785" width="12" style="128" customWidth="1"/>
    <col min="11786" max="12028" width="8.58203125" style="128"/>
    <col min="12029" max="12029" width="9.83203125" style="128" bestFit="1" customWidth="1"/>
    <col min="12030" max="12030" width="8.33203125" style="128" bestFit="1" customWidth="1"/>
    <col min="12031" max="12031" width="18.58203125" style="128" customWidth="1"/>
    <col min="12032" max="12032" width="17.08203125" style="128" customWidth="1"/>
    <col min="12033" max="12033" width="14.58203125" style="128" bestFit="1" customWidth="1"/>
    <col min="12034" max="12034" width="8.58203125" style="128"/>
    <col min="12035" max="12035" width="3.83203125" style="128" customWidth="1"/>
    <col min="12036" max="12036" width="14.5" style="128" bestFit="1" customWidth="1"/>
    <col min="12037" max="12037" width="7.08203125" style="128" bestFit="1" customWidth="1"/>
    <col min="12038" max="12038" width="8.58203125" style="128" bestFit="1" customWidth="1"/>
    <col min="12039" max="12039" width="5" style="128" bestFit="1" customWidth="1"/>
    <col min="12040" max="12040" width="13.5" style="128" bestFit="1" customWidth="1"/>
    <col min="12041" max="12041" width="12" style="128" customWidth="1"/>
    <col min="12042" max="12284" width="8.58203125" style="128"/>
    <col min="12285" max="12285" width="9.83203125" style="128" bestFit="1" customWidth="1"/>
    <col min="12286" max="12286" width="8.33203125" style="128" bestFit="1" customWidth="1"/>
    <col min="12287" max="12287" width="18.58203125" style="128" customWidth="1"/>
    <col min="12288" max="12288" width="17.08203125" style="128" customWidth="1"/>
    <col min="12289" max="12289" width="14.58203125" style="128" bestFit="1" customWidth="1"/>
    <col min="12290" max="12290" width="8.58203125" style="128"/>
    <col min="12291" max="12291" width="3.83203125" style="128" customWidth="1"/>
    <col min="12292" max="12292" width="14.5" style="128" bestFit="1" customWidth="1"/>
    <col min="12293" max="12293" width="7.08203125" style="128" bestFit="1" customWidth="1"/>
    <col min="12294" max="12294" width="8.58203125" style="128" bestFit="1" customWidth="1"/>
    <col min="12295" max="12295" width="5" style="128" bestFit="1" customWidth="1"/>
    <col min="12296" max="12296" width="13.5" style="128" bestFit="1" customWidth="1"/>
    <col min="12297" max="12297" width="12" style="128" customWidth="1"/>
    <col min="12298" max="12540" width="8.58203125" style="128"/>
    <col min="12541" max="12541" width="9.83203125" style="128" bestFit="1" customWidth="1"/>
    <col min="12542" max="12542" width="8.33203125" style="128" bestFit="1" customWidth="1"/>
    <col min="12543" max="12543" width="18.58203125" style="128" customWidth="1"/>
    <col min="12544" max="12544" width="17.08203125" style="128" customWidth="1"/>
    <col min="12545" max="12545" width="14.58203125" style="128" bestFit="1" customWidth="1"/>
    <col min="12546" max="12546" width="8.58203125" style="128"/>
    <col min="12547" max="12547" width="3.83203125" style="128" customWidth="1"/>
    <col min="12548" max="12548" width="14.5" style="128" bestFit="1" customWidth="1"/>
    <col min="12549" max="12549" width="7.08203125" style="128" bestFit="1" customWidth="1"/>
    <col min="12550" max="12550" width="8.58203125" style="128" bestFit="1" customWidth="1"/>
    <col min="12551" max="12551" width="5" style="128" bestFit="1" customWidth="1"/>
    <col min="12552" max="12552" width="13.5" style="128" bestFit="1" customWidth="1"/>
    <col min="12553" max="12553" width="12" style="128" customWidth="1"/>
    <col min="12554" max="12796" width="8.58203125" style="128"/>
    <col min="12797" max="12797" width="9.83203125" style="128" bestFit="1" customWidth="1"/>
    <col min="12798" max="12798" width="8.33203125" style="128" bestFit="1" customWidth="1"/>
    <col min="12799" max="12799" width="18.58203125" style="128" customWidth="1"/>
    <col min="12800" max="12800" width="17.08203125" style="128" customWidth="1"/>
    <col min="12801" max="12801" width="14.58203125" style="128" bestFit="1" customWidth="1"/>
    <col min="12802" max="12802" width="8.58203125" style="128"/>
    <col min="12803" max="12803" width="3.83203125" style="128" customWidth="1"/>
    <col min="12804" max="12804" width="14.5" style="128" bestFit="1" customWidth="1"/>
    <col min="12805" max="12805" width="7.08203125" style="128" bestFit="1" customWidth="1"/>
    <col min="12806" max="12806" width="8.58203125" style="128" bestFit="1" customWidth="1"/>
    <col min="12807" max="12807" width="5" style="128" bestFit="1" customWidth="1"/>
    <col min="12808" max="12808" width="13.5" style="128" bestFit="1" customWidth="1"/>
    <col min="12809" max="12809" width="12" style="128" customWidth="1"/>
    <col min="12810" max="13052" width="8.58203125" style="128"/>
    <col min="13053" max="13053" width="9.83203125" style="128" bestFit="1" customWidth="1"/>
    <col min="13054" max="13054" width="8.33203125" style="128" bestFit="1" customWidth="1"/>
    <col min="13055" max="13055" width="18.58203125" style="128" customWidth="1"/>
    <col min="13056" max="13056" width="17.08203125" style="128" customWidth="1"/>
    <col min="13057" max="13057" width="14.58203125" style="128" bestFit="1" customWidth="1"/>
    <col min="13058" max="13058" width="8.58203125" style="128"/>
    <col min="13059" max="13059" width="3.83203125" style="128" customWidth="1"/>
    <col min="13060" max="13060" width="14.5" style="128" bestFit="1" customWidth="1"/>
    <col min="13061" max="13061" width="7.08203125" style="128" bestFit="1" customWidth="1"/>
    <col min="13062" max="13062" width="8.58203125" style="128" bestFit="1" customWidth="1"/>
    <col min="13063" max="13063" width="5" style="128" bestFit="1" customWidth="1"/>
    <col min="13064" max="13064" width="13.5" style="128" bestFit="1" customWidth="1"/>
    <col min="13065" max="13065" width="12" style="128" customWidth="1"/>
    <col min="13066" max="13308" width="8.58203125" style="128"/>
    <col min="13309" max="13309" width="9.83203125" style="128" bestFit="1" customWidth="1"/>
    <col min="13310" max="13310" width="8.33203125" style="128" bestFit="1" customWidth="1"/>
    <col min="13311" max="13311" width="18.58203125" style="128" customWidth="1"/>
    <col min="13312" max="13312" width="17.08203125" style="128" customWidth="1"/>
    <col min="13313" max="13313" width="14.58203125" style="128" bestFit="1" customWidth="1"/>
    <col min="13314" max="13314" width="8.58203125" style="128"/>
    <col min="13315" max="13315" width="3.83203125" style="128" customWidth="1"/>
    <col min="13316" max="13316" width="14.5" style="128" bestFit="1" customWidth="1"/>
    <col min="13317" max="13317" width="7.08203125" style="128" bestFit="1" customWidth="1"/>
    <col min="13318" max="13318" width="8.58203125" style="128" bestFit="1" customWidth="1"/>
    <col min="13319" max="13319" width="5" style="128" bestFit="1" customWidth="1"/>
    <col min="13320" max="13320" width="13.5" style="128" bestFit="1" customWidth="1"/>
    <col min="13321" max="13321" width="12" style="128" customWidth="1"/>
    <col min="13322" max="13564" width="8.58203125" style="128"/>
    <col min="13565" max="13565" width="9.83203125" style="128" bestFit="1" customWidth="1"/>
    <col min="13566" max="13566" width="8.33203125" style="128" bestFit="1" customWidth="1"/>
    <col min="13567" max="13567" width="18.58203125" style="128" customWidth="1"/>
    <col min="13568" max="13568" width="17.08203125" style="128" customWidth="1"/>
    <col min="13569" max="13569" width="14.58203125" style="128" bestFit="1" customWidth="1"/>
    <col min="13570" max="13570" width="8.58203125" style="128"/>
    <col min="13571" max="13571" width="3.83203125" style="128" customWidth="1"/>
    <col min="13572" max="13572" width="14.5" style="128" bestFit="1" customWidth="1"/>
    <col min="13573" max="13573" width="7.08203125" style="128" bestFit="1" customWidth="1"/>
    <col min="13574" max="13574" width="8.58203125" style="128" bestFit="1" customWidth="1"/>
    <col min="13575" max="13575" width="5" style="128" bestFit="1" customWidth="1"/>
    <col min="13576" max="13576" width="13.5" style="128" bestFit="1" customWidth="1"/>
    <col min="13577" max="13577" width="12" style="128" customWidth="1"/>
    <col min="13578" max="13820" width="8.58203125" style="128"/>
    <col min="13821" max="13821" width="9.83203125" style="128" bestFit="1" customWidth="1"/>
    <col min="13822" max="13822" width="8.33203125" style="128" bestFit="1" customWidth="1"/>
    <col min="13823" max="13823" width="18.58203125" style="128" customWidth="1"/>
    <col min="13824" max="13824" width="17.08203125" style="128" customWidth="1"/>
    <col min="13825" max="13825" width="14.58203125" style="128" bestFit="1" customWidth="1"/>
    <col min="13826" max="13826" width="8.58203125" style="128"/>
    <col min="13827" max="13827" width="3.83203125" style="128" customWidth="1"/>
    <col min="13828" max="13828" width="14.5" style="128" bestFit="1" customWidth="1"/>
    <col min="13829" max="13829" width="7.08203125" style="128" bestFit="1" customWidth="1"/>
    <col min="13830" max="13830" width="8.58203125" style="128" bestFit="1" customWidth="1"/>
    <col min="13831" max="13831" width="5" style="128" bestFit="1" customWidth="1"/>
    <col min="13832" max="13832" width="13.5" style="128" bestFit="1" customWidth="1"/>
    <col min="13833" max="13833" width="12" style="128" customWidth="1"/>
    <col min="13834" max="14076" width="8.58203125" style="128"/>
    <col min="14077" max="14077" width="9.83203125" style="128" bestFit="1" customWidth="1"/>
    <col min="14078" max="14078" width="8.33203125" style="128" bestFit="1" customWidth="1"/>
    <col min="14079" max="14079" width="18.58203125" style="128" customWidth="1"/>
    <col min="14080" max="14080" width="17.08203125" style="128" customWidth="1"/>
    <col min="14081" max="14081" width="14.58203125" style="128" bestFit="1" customWidth="1"/>
    <col min="14082" max="14082" width="8.58203125" style="128"/>
    <col min="14083" max="14083" width="3.83203125" style="128" customWidth="1"/>
    <col min="14084" max="14084" width="14.5" style="128" bestFit="1" customWidth="1"/>
    <col min="14085" max="14085" width="7.08203125" style="128" bestFit="1" customWidth="1"/>
    <col min="14086" max="14086" width="8.58203125" style="128" bestFit="1" customWidth="1"/>
    <col min="14087" max="14087" width="5" style="128" bestFit="1" customWidth="1"/>
    <col min="14088" max="14088" width="13.5" style="128" bestFit="1" customWidth="1"/>
    <col min="14089" max="14089" width="12" style="128" customWidth="1"/>
    <col min="14090" max="14332" width="8.58203125" style="128"/>
    <col min="14333" max="14333" width="9.83203125" style="128" bestFit="1" customWidth="1"/>
    <col min="14334" max="14334" width="8.33203125" style="128" bestFit="1" customWidth="1"/>
    <col min="14335" max="14335" width="18.58203125" style="128" customWidth="1"/>
    <col min="14336" max="14336" width="17.08203125" style="128" customWidth="1"/>
    <col min="14337" max="14337" width="14.58203125" style="128" bestFit="1" customWidth="1"/>
    <col min="14338" max="14338" width="8.58203125" style="128"/>
    <col min="14339" max="14339" width="3.83203125" style="128" customWidth="1"/>
    <col min="14340" max="14340" width="14.5" style="128" bestFit="1" customWidth="1"/>
    <col min="14341" max="14341" width="7.08203125" style="128" bestFit="1" customWidth="1"/>
    <col min="14342" max="14342" width="8.58203125" style="128" bestFit="1" customWidth="1"/>
    <col min="14343" max="14343" width="5" style="128" bestFit="1" customWidth="1"/>
    <col min="14344" max="14344" width="13.5" style="128" bestFit="1" customWidth="1"/>
    <col min="14345" max="14345" width="12" style="128" customWidth="1"/>
    <col min="14346" max="14588" width="8.58203125" style="128"/>
    <col min="14589" max="14589" width="9.83203125" style="128" bestFit="1" customWidth="1"/>
    <col min="14590" max="14590" width="8.33203125" style="128" bestFit="1" customWidth="1"/>
    <col min="14591" max="14591" width="18.58203125" style="128" customWidth="1"/>
    <col min="14592" max="14592" width="17.08203125" style="128" customWidth="1"/>
    <col min="14593" max="14593" width="14.58203125" style="128" bestFit="1" customWidth="1"/>
    <col min="14594" max="14594" width="8.58203125" style="128"/>
    <col min="14595" max="14595" width="3.83203125" style="128" customWidth="1"/>
    <col min="14596" max="14596" width="14.5" style="128" bestFit="1" customWidth="1"/>
    <col min="14597" max="14597" width="7.08203125" style="128" bestFit="1" customWidth="1"/>
    <col min="14598" max="14598" width="8.58203125" style="128" bestFit="1" customWidth="1"/>
    <col min="14599" max="14599" width="5" style="128" bestFit="1" customWidth="1"/>
    <col min="14600" max="14600" width="13.5" style="128" bestFit="1" customWidth="1"/>
    <col min="14601" max="14601" width="12" style="128" customWidth="1"/>
    <col min="14602" max="14844" width="8.58203125" style="128"/>
    <col min="14845" max="14845" width="9.83203125" style="128" bestFit="1" customWidth="1"/>
    <col min="14846" max="14846" width="8.33203125" style="128" bestFit="1" customWidth="1"/>
    <col min="14847" max="14847" width="18.58203125" style="128" customWidth="1"/>
    <col min="14848" max="14848" width="17.08203125" style="128" customWidth="1"/>
    <col min="14849" max="14849" width="14.58203125" style="128" bestFit="1" customWidth="1"/>
    <col min="14850" max="14850" width="8.58203125" style="128"/>
    <col min="14851" max="14851" width="3.83203125" style="128" customWidth="1"/>
    <col min="14852" max="14852" width="14.5" style="128" bestFit="1" customWidth="1"/>
    <col min="14853" max="14853" width="7.08203125" style="128" bestFit="1" customWidth="1"/>
    <col min="14854" max="14854" width="8.58203125" style="128" bestFit="1" customWidth="1"/>
    <col min="14855" max="14855" width="5" style="128" bestFit="1" customWidth="1"/>
    <col min="14856" max="14856" width="13.5" style="128" bestFit="1" customWidth="1"/>
    <col min="14857" max="14857" width="12" style="128" customWidth="1"/>
    <col min="14858" max="15100" width="8.58203125" style="128"/>
    <col min="15101" max="15101" width="9.83203125" style="128" bestFit="1" customWidth="1"/>
    <col min="15102" max="15102" width="8.33203125" style="128" bestFit="1" customWidth="1"/>
    <col min="15103" max="15103" width="18.58203125" style="128" customWidth="1"/>
    <col min="15104" max="15104" width="17.08203125" style="128" customWidth="1"/>
    <col min="15105" max="15105" width="14.58203125" style="128" bestFit="1" customWidth="1"/>
    <col min="15106" max="15106" width="8.58203125" style="128"/>
    <col min="15107" max="15107" width="3.83203125" style="128" customWidth="1"/>
    <col min="15108" max="15108" width="14.5" style="128" bestFit="1" customWidth="1"/>
    <col min="15109" max="15109" width="7.08203125" style="128" bestFit="1" customWidth="1"/>
    <col min="15110" max="15110" width="8.58203125" style="128" bestFit="1" customWidth="1"/>
    <col min="15111" max="15111" width="5" style="128" bestFit="1" customWidth="1"/>
    <col min="15112" max="15112" width="13.5" style="128" bestFit="1" customWidth="1"/>
    <col min="15113" max="15113" width="12" style="128" customWidth="1"/>
    <col min="15114" max="15356" width="8.58203125" style="128"/>
    <col min="15357" max="15357" width="9.83203125" style="128" bestFit="1" customWidth="1"/>
    <col min="15358" max="15358" width="8.33203125" style="128" bestFit="1" customWidth="1"/>
    <col min="15359" max="15359" width="18.58203125" style="128" customWidth="1"/>
    <col min="15360" max="15360" width="17.08203125" style="128" customWidth="1"/>
    <col min="15361" max="15361" width="14.58203125" style="128" bestFit="1" customWidth="1"/>
    <col min="15362" max="15362" width="8.58203125" style="128"/>
    <col min="15363" max="15363" width="3.83203125" style="128" customWidth="1"/>
    <col min="15364" max="15364" width="14.5" style="128" bestFit="1" customWidth="1"/>
    <col min="15365" max="15365" width="7.08203125" style="128" bestFit="1" customWidth="1"/>
    <col min="15366" max="15366" width="8.58203125" style="128" bestFit="1" customWidth="1"/>
    <col min="15367" max="15367" width="5" style="128" bestFit="1" customWidth="1"/>
    <col min="15368" max="15368" width="13.5" style="128" bestFit="1" customWidth="1"/>
    <col min="15369" max="15369" width="12" style="128" customWidth="1"/>
    <col min="15370" max="15612" width="8.58203125" style="128"/>
    <col min="15613" max="15613" width="9.83203125" style="128" bestFit="1" customWidth="1"/>
    <col min="15614" max="15614" width="8.33203125" style="128" bestFit="1" customWidth="1"/>
    <col min="15615" max="15615" width="18.58203125" style="128" customWidth="1"/>
    <col min="15616" max="15616" width="17.08203125" style="128" customWidth="1"/>
    <col min="15617" max="15617" width="14.58203125" style="128" bestFit="1" customWidth="1"/>
    <col min="15618" max="15618" width="8.58203125" style="128"/>
    <col min="15619" max="15619" width="3.83203125" style="128" customWidth="1"/>
    <col min="15620" max="15620" width="14.5" style="128" bestFit="1" customWidth="1"/>
    <col min="15621" max="15621" width="7.08203125" style="128" bestFit="1" customWidth="1"/>
    <col min="15622" max="15622" width="8.58203125" style="128" bestFit="1" customWidth="1"/>
    <col min="15623" max="15623" width="5" style="128" bestFit="1" customWidth="1"/>
    <col min="15624" max="15624" width="13.5" style="128" bestFit="1" customWidth="1"/>
    <col min="15625" max="15625" width="12" style="128" customWidth="1"/>
    <col min="15626" max="15868" width="8.58203125" style="128"/>
    <col min="15869" max="15869" width="9.83203125" style="128" bestFit="1" customWidth="1"/>
    <col min="15870" max="15870" width="8.33203125" style="128" bestFit="1" customWidth="1"/>
    <col min="15871" max="15871" width="18.58203125" style="128" customWidth="1"/>
    <col min="15872" max="15872" width="17.08203125" style="128" customWidth="1"/>
    <col min="15873" max="15873" width="14.58203125" style="128" bestFit="1" customWidth="1"/>
    <col min="15874" max="15874" width="8.58203125" style="128"/>
    <col min="15875" max="15875" width="3.83203125" style="128" customWidth="1"/>
    <col min="15876" max="15876" width="14.5" style="128" bestFit="1" customWidth="1"/>
    <col min="15877" max="15877" width="7.08203125" style="128" bestFit="1" customWidth="1"/>
    <col min="15878" max="15878" width="8.58203125" style="128" bestFit="1" customWidth="1"/>
    <col min="15879" max="15879" width="5" style="128" bestFit="1" customWidth="1"/>
    <col min="15880" max="15880" width="13.5" style="128" bestFit="1" customWidth="1"/>
    <col min="15881" max="15881" width="12" style="128" customWidth="1"/>
    <col min="15882" max="16124" width="8.58203125" style="128"/>
    <col min="16125" max="16125" width="9.83203125" style="128" bestFit="1" customWidth="1"/>
    <col min="16126" max="16126" width="8.33203125" style="128" bestFit="1" customWidth="1"/>
    <col min="16127" max="16127" width="18.58203125" style="128" customWidth="1"/>
    <col min="16128" max="16128" width="17.08203125" style="128" customWidth="1"/>
    <col min="16129" max="16129" width="14.58203125" style="128" bestFit="1" customWidth="1"/>
    <col min="16130" max="16130" width="8.58203125" style="128"/>
    <col min="16131" max="16131" width="3.83203125" style="128" customWidth="1"/>
    <col min="16132" max="16132" width="14.5" style="128" bestFit="1" customWidth="1"/>
    <col min="16133" max="16133" width="7.08203125" style="128" bestFit="1" customWidth="1"/>
    <col min="16134" max="16134" width="8.58203125" style="128" bestFit="1" customWidth="1"/>
    <col min="16135" max="16135" width="5" style="128" bestFit="1" customWidth="1"/>
    <col min="16136" max="16136" width="13.5" style="128" bestFit="1" customWidth="1"/>
    <col min="16137" max="16137" width="12" style="128" customWidth="1"/>
    <col min="16138" max="16378" width="8.58203125" style="128"/>
    <col min="16379" max="16384" width="9" style="128" customWidth="1"/>
  </cols>
  <sheetData>
    <row r="9" spans="1:3">
      <c r="A9" s="442" t="s">
        <v>244</v>
      </c>
      <c r="B9" s="442"/>
      <c r="C9" s="442"/>
    </row>
    <row r="11" spans="1:3">
      <c r="A11" s="130" t="s">
        <v>11</v>
      </c>
      <c r="B11" s="169" t="s">
        <v>83</v>
      </c>
      <c r="C11" s="131"/>
    </row>
    <row r="12" spans="1:3">
      <c r="A12" s="133">
        <v>1</v>
      </c>
      <c r="B12" s="167" t="s">
        <v>4</v>
      </c>
      <c r="C12" s="90" t="str">
        <f>'TSSS '!F15&amp;" - "&amp;'TSSS '!F16</f>
        <v>Liên hệ trực tiếp - SĐT: 09269.09299</v>
      </c>
    </row>
    <row r="13" spans="1:3">
      <c r="A13" s="133">
        <f>A12+1</f>
        <v>2</v>
      </c>
      <c r="B13" s="167" t="s">
        <v>90</v>
      </c>
      <c r="C13" s="212">
        <f>'TSSS '!F42</f>
        <v>5388900000</v>
      </c>
    </row>
    <row r="14" spans="1:3">
      <c r="A14" s="133">
        <f t="shared" ref="A14:A31" si="0">A13+1</f>
        <v>3</v>
      </c>
      <c r="B14" s="167" t="s">
        <v>241</v>
      </c>
      <c r="C14" s="212">
        <f>'TSSS '!F43</f>
        <v>4580565000</v>
      </c>
    </row>
    <row r="15" spans="1:3">
      <c r="A15" s="133">
        <f t="shared" si="0"/>
        <v>4</v>
      </c>
      <c r="B15" s="167" t="s">
        <v>53</v>
      </c>
      <c r="C15" s="90" t="str">
        <f>'TSSS '!F17</f>
        <v xml:space="preserve">Đang giao dịch </v>
      </c>
    </row>
    <row r="16" spans="1:3">
      <c r="A16" s="133">
        <f t="shared" si="0"/>
        <v>5</v>
      </c>
      <c r="B16" s="167" t="s">
        <v>178</v>
      </c>
      <c r="C16" s="90" t="str">
        <f>'TSSS '!F18</f>
        <v>Tháng 12/2025</v>
      </c>
    </row>
    <row r="17" spans="1:5">
      <c r="A17" s="133">
        <f t="shared" si="0"/>
        <v>6</v>
      </c>
      <c r="B17" s="167" t="s">
        <v>54</v>
      </c>
      <c r="C17" s="90" t="str">
        <f>'TSSS '!F19</f>
        <v>Giao dịch bình thường trên thị trường</v>
      </c>
    </row>
    <row r="18" spans="1:5">
      <c r="A18" s="133">
        <f t="shared" si="0"/>
        <v>7</v>
      </c>
      <c r="B18" s="167" t="s">
        <v>6</v>
      </c>
      <c r="C18" s="90" t="str">
        <f>'TSSS '!F20</f>
        <v>Có Giấy chứng nhận Quyền sử dụng đất</v>
      </c>
    </row>
    <row r="19" spans="1:5">
      <c r="A19" s="133">
        <f t="shared" si="0"/>
        <v>8</v>
      </c>
      <c r="B19" s="167" t="s">
        <v>80</v>
      </c>
      <c r="C19" s="90" t="str">
        <f>'TSSS '!F21</f>
        <v>Đất ở tại đô thị</v>
      </c>
    </row>
    <row r="20" spans="1:5">
      <c r="A20" s="133">
        <f t="shared" si="0"/>
        <v>9</v>
      </c>
      <c r="B20" s="148" t="s">
        <v>217</v>
      </c>
      <c r="C20" s="90" t="str">
        <f>'TSSS '!F22</f>
        <v>Lâu dài</v>
      </c>
    </row>
    <row r="21" spans="1:5">
      <c r="A21" s="133">
        <f t="shared" si="0"/>
        <v>10</v>
      </c>
      <c r="B21" s="199" t="s">
        <v>229</v>
      </c>
      <c r="C21" s="90" t="str">
        <f>'TSSS '!F23</f>
        <v>Vị trí 1 đường DT702, giao thông thuận tiện</v>
      </c>
    </row>
    <row r="22" spans="1:5">
      <c r="A22" s="133">
        <f t="shared" si="0"/>
        <v>11</v>
      </c>
      <c r="B22" s="167" t="s">
        <v>81</v>
      </c>
      <c r="C22" s="90" t="str">
        <f>'TSSS '!F24</f>
        <v>20m</v>
      </c>
    </row>
    <row r="23" spans="1:5">
      <c r="A23" s="133">
        <f t="shared" si="0"/>
        <v>12</v>
      </c>
      <c r="B23" s="167" t="s">
        <v>235</v>
      </c>
      <c r="C23" s="90">
        <f>'TSSS '!F25</f>
        <v>489.9</v>
      </c>
    </row>
    <row r="24" spans="1:5">
      <c r="A24" s="133">
        <f t="shared" si="0"/>
        <v>13</v>
      </c>
      <c r="B24" s="167" t="s">
        <v>85</v>
      </c>
      <c r="C24" s="90">
        <f>'TSSS '!F28</f>
        <v>12</v>
      </c>
    </row>
    <row r="25" spans="1:5">
      <c r="A25" s="133">
        <f t="shared" si="0"/>
        <v>14</v>
      </c>
      <c r="B25" s="167" t="s">
        <v>219</v>
      </c>
      <c r="C25" s="90" t="str">
        <f>'TSSS '!F30</f>
        <v>1 mặt tiền</v>
      </c>
    </row>
    <row r="26" spans="1:5">
      <c r="A26" s="133">
        <f t="shared" si="0"/>
        <v>15</v>
      </c>
      <c r="B26" s="167" t="s">
        <v>56</v>
      </c>
      <c r="C26" s="90" t="str">
        <f>'TSSS '!F31</f>
        <v>Vuông vắn</v>
      </c>
      <c r="D26" s="135"/>
    </row>
    <row r="27" spans="1:5">
      <c r="A27" s="133">
        <f t="shared" si="0"/>
        <v>16</v>
      </c>
      <c r="B27" s="199" t="s">
        <v>230</v>
      </c>
      <c r="C27" s="90" t="str">
        <f>'TSSS '!F32</f>
        <v>Tốt</v>
      </c>
      <c r="D27" s="135"/>
    </row>
    <row r="28" spans="1:5" ht="28">
      <c r="A28" s="133">
        <f t="shared" si="0"/>
        <v>17</v>
      </c>
      <c r="B28" s="167" t="s">
        <v>216</v>
      </c>
      <c r="C28" s="140" t="str">
        <f>'TSSS '!F33</f>
        <v>Không có bất lợi thương mại</v>
      </c>
    </row>
    <row r="29" spans="1:5">
      <c r="A29" s="133">
        <f t="shared" si="0"/>
        <v>18</v>
      </c>
      <c r="B29" s="167" t="s">
        <v>221</v>
      </c>
      <c r="C29" s="90" t="str">
        <f>'TSSS '!F34</f>
        <v xml:space="preserve">Hệ thống cấp điện, cấp thoát nước đầy đủ. </v>
      </c>
    </row>
    <row r="30" spans="1:5" ht="14.5" customHeight="1">
      <c r="A30" s="133">
        <f t="shared" si="0"/>
        <v>19</v>
      </c>
      <c r="B30" s="167" t="s">
        <v>218</v>
      </c>
      <c r="C30" s="90" t="str">
        <f>'TSSS '!F35</f>
        <v>Đường nhựa</v>
      </c>
      <c r="E30" s="196"/>
    </row>
    <row r="31" spans="1:5">
      <c r="A31" s="133">
        <f t="shared" si="0"/>
        <v>20</v>
      </c>
      <c r="B31" s="167" t="s">
        <v>86</v>
      </c>
      <c r="C31" s="90" t="str">
        <f>'TSSS '!F36</f>
        <v>Đất trống</v>
      </c>
    </row>
    <row r="32" spans="1:5">
      <c r="A32" s="139" t="s">
        <v>13</v>
      </c>
      <c r="B32" s="166" t="s">
        <v>243</v>
      </c>
      <c r="C32" s="134"/>
    </row>
    <row r="33" spans="1:3" ht="386.5" customHeight="1">
      <c r="A33" s="132"/>
      <c r="B33" s="462"/>
      <c r="C33" s="463"/>
    </row>
    <row r="34" spans="1:3">
      <c r="A34" s="172"/>
      <c r="B34" s="197"/>
      <c r="C34" s="198"/>
    </row>
    <row r="35" spans="1:3" ht="15.5" hidden="1">
      <c r="A35" s="172"/>
      <c r="B35" s="197"/>
      <c r="C35" s="200" t="str">
        <f>KHTĐG!D34</f>
        <v>Hà Nội, ngày 07 tháng 11 năm 2024</v>
      </c>
    </row>
    <row r="36" spans="1:3" ht="15">
      <c r="A36" s="172"/>
      <c r="B36" s="197"/>
      <c r="C36" s="22" t="s">
        <v>234</v>
      </c>
    </row>
    <row r="37" spans="1:3" ht="15.5">
      <c r="A37" s="172"/>
      <c r="B37" s="197"/>
      <c r="C37" s="21"/>
    </row>
    <row r="38" spans="1:3" ht="15.5">
      <c r="A38" s="172"/>
      <c r="B38" s="197"/>
      <c r="C38" s="21"/>
    </row>
    <row r="39" spans="1:3" ht="15.5">
      <c r="A39" s="172"/>
      <c r="B39" s="197"/>
      <c r="C39" s="21"/>
    </row>
    <row r="40" spans="1:3" ht="15">
      <c r="C40" s="22" t="str">
        <f>TSSS1!C41</f>
        <v>Đinh Thị Lan Hương</v>
      </c>
    </row>
    <row r="55" spans="1:11" s="129" customFormat="1">
      <c r="A55" s="128"/>
      <c r="B55" s="181"/>
      <c r="D55" s="128"/>
      <c r="E55" s="128"/>
      <c r="F55" s="128"/>
      <c r="G55" s="128"/>
      <c r="H55" s="128"/>
      <c r="I55" s="128"/>
      <c r="J55" s="128"/>
      <c r="K55" s="128"/>
    </row>
  </sheetData>
  <mergeCells count="2">
    <mergeCell ref="A9:C9"/>
    <mergeCell ref="B33:C33"/>
  </mergeCells>
  <pageMargins left="0.7" right="0.7" top="0.38" bottom="0.27" header="0.3" footer="0.3"/>
  <pageSetup paperSize="9" scale="92"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485F-44FE-4CDA-880C-FC5ECA81F2C5}">
  <sheetPr>
    <pageSetUpPr fitToPage="1"/>
  </sheetPr>
  <dimension ref="A9:K56"/>
  <sheetViews>
    <sheetView showGridLines="0" topLeftCell="A25" zoomScaleNormal="100" workbookViewId="0">
      <selection activeCell="C12" sqref="C12:C31"/>
    </sheetView>
  </sheetViews>
  <sheetFormatPr defaultRowHeight="14"/>
  <cols>
    <col min="1" max="1" width="5.08203125" style="128" customWidth="1"/>
    <col min="2" max="2" width="26.08203125" style="181" customWidth="1"/>
    <col min="3" max="3" width="57.33203125" style="129" customWidth="1"/>
    <col min="4" max="4" width="13.08203125" style="128" customWidth="1"/>
    <col min="5" max="5" width="16.83203125" style="128" customWidth="1"/>
    <col min="6" max="6" width="8.58203125" style="128" bestFit="1" customWidth="1"/>
    <col min="7" max="7" width="6.58203125" style="128" customWidth="1"/>
    <col min="8" max="8" width="13.5" style="128" bestFit="1" customWidth="1"/>
    <col min="9" max="9" width="12" style="128" customWidth="1"/>
    <col min="10" max="252" width="8.58203125" style="128"/>
    <col min="253" max="253" width="9.83203125" style="128" bestFit="1" customWidth="1"/>
    <col min="254" max="254" width="8.33203125" style="128" bestFit="1" customWidth="1"/>
    <col min="255" max="255" width="18.58203125" style="128" customWidth="1"/>
    <col min="256" max="256" width="17.08203125" style="128" customWidth="1"/>
    <col min="257" max="257" width="14.58203125" style="128" bestFit="1" customWidth="1"/>
    <col min="258" max="258" width="8.58203125" style="128"/>
    <col min="259" max="259" width="3.83203125" style="128" customWidth="1"/>
    <col min="260" max="260" width="14.5" style="128" bestFit="1" customWidth="1"/>
    <col min="261" max="261" width="7.08203125" style="128" bestFit="1" customWidth="1"/>
    <col min="262" max="262" width="8.58203125" style="128" bestFit="1" customWidth="1"/>
    <col min="263" max="263" width="5" style="128" bestFit="1" customWidth="1"/>
    <col min="264" max="264" width="13.5" style="128" bestFit="1" customWidth="1"/>
    <col min="265" max="265" width="12" style="128" customWidth="1"/>
    <col min="266" max="508" width="8.58203125" style="128"/>
    <col min="509" max="509" width="9.83203125" style="128" bestFit="1" customWidth="1"/>
    <col min="510" max="510" width="8.33203125" style="128" bestFit="1" customWidth="1"/>
    <col min="511" max="511" width="18.58203125" style="128" customWidth="1"/>
    <col min="512" max="512" width="17.08203125" style="128" customWidth="1"/>
    <col min="513" max="513" width="14.58203125" style="128" bestFit="1" customWidth="1"/>
    <col min="514" max="514" width="8.58203125" style="128"/>
    <col min="515" max="515" width="3.83203125" style="128" customWidth="1"/>
    <col min="516" max="516" width="14.5" style="128" bestFit="1" customWidth="1"/>
    <col min="517" max="517" width="7.08203125" style="128" bestFit="1" customWidth="1"/>
    <col min="518" max="518" width="8.58203125" style="128" bestFit="1" customWidth="1"/>
    <col min="519" max="519" width="5" style="128" bestFit="1" customWidth="1"/>
    <col min="520" max="520" width="13.5" style="128" bestFit="1" customWidth="1"/>
    <col min="521" max="521" width="12" style="128" customWidth="1"/>
    <col min="522" max="764" width="8.58203125" style="128"/>
    <col min="765" max="765" width="9.83203125" style="128" bestFit="1" customWidth="1"/>
    <col min="766" max="766" width="8.33203125" style="128" bestFit="1" customWidth="1"/>
    <col min="767" max="767" width="18.58203125" style="128" customWidth="1"/>
    <col min="768" max="768" width="17.08203125" style="128" customWidth="1"/>
    <col min="769" max="769" width="14.58203125" style="128" bestFit="1" customWidth="1"/>
    <col min="770" max="770" width="8.58203125" style="128"/>
    <col min="771" max="771" width="3.83203125" style="128" customWidth="1"/>
    <col min="772" max="772" width="14.5" style="128" bestFit="1" customWidth="1"/>
    <col min="773" max="773" width="7.08203125" style="128" bestFit="1" customWidth="1"/>
    <col min="774" max="774" width="8.58203125" style="128" bestFit="1" customWidth="1"/>
    <col min="775" max="775" width="5" style="128" bestFit="1" customWidth="1"/>
    <col min="776" max="776" width="13.5" style="128" bestFit="1" customWidth="1"/>
    <col min="777" max="777" width="12" style="128" customWidth="1"/>
    <col min="778" max="1020" width="8.58203125" style="128"/>
    <col min="1021" max="1021" width="9.83203125" style="128" bestFit="1" customWidth="1"/>
    <col min="1022" max="1022" width="8.33203125" style="128" bestFit="1" customWidth="1"/>
    <col min="1023" max="1023" width="18.58203125" style="128" customWidth="1"/>
    <col min="1024" max="1024" width="17.08203125" style="128" customWidth="1"/>
    <col min="1025" max="1025" width="14.58203125" style="128" bestFit="1" customWidth="1"/>
    <col min="1026" max="1026" width="8.58203125" style="128"/>
    <col min="1027" max="1027" width="3.83203125" style="128" customWidth="1"/>
    <col min="1028" max="1028" width="14.5" style="128" bestFit="1" customWidth="1"/>
    <col min="1029" max="1029" width="7.08203125" style="128" bestFit="1" customWidth="1"/>
    <col min="1030" max="1030" width="8.58203125" style="128" bestFit="1" customWidth="1"/>
    <col min="1031" max="1031" width="5" style="128" bestFit="1" customWidth="1"/>
    <col min="1032" max="1032" width="13.5" style="128" bestFit="1" customWidth="1"/>
    <col min="1033" max="1033" width="12" style="128" customWidth="1"/>
    <col min="1034" max="1276" width="8.58203125" style="128"/>
    <col min="1277" max="1277" width="9.83203125" style="128" bestFit="1" customWidth="1"/>
    <col min="1278" max="1278" width="8.33203125" style="128" bestFit="1" customWidth="1"/>
    <col min="1279" max="1279" width="18.58203125" style="128" customWidth="1"/>
    <col min="1280" max="1280" width="17.08203125" style="128" customWidth="1"/>
    <col min="1281" max="1281" width="14.58203125" style="128" bestFit="1" customWidth="1"/>
    <col min="1282" max="1282" width="8.58203125" style="128"/>
    <col min="1283" max="1283" width="3.83203125" style="128" customWidth="1"/>
    <col min="1284" max="1284" width="14.5" style="128" bestFit="1" customWidth="1"/>
    <col min="1285" max="1285" width="7.08203125" style="128" bestFit="1" customWidth="1"/>
    <col min="1286" max="1286" width="8.58203125" style="128" bestFit="1" customWidth="1"/>
    <col min="1287" max="1287" width="5" style="128" bestFit="1" customWidth="1"/>
    <col min="1288" max="1288" width="13.5" style="128" bestFit="1" customWidth="1"/>
    <col min="1289" max="1289" width="12" style="128" customWidth="1"/>
    <col min="1290" max="1532" width="8.58203125" style="128"/>
    <col min="1533" max="1533" width="9.83203125" style="128" bestFit="1" customWidth="1"/>
    <col min="1534" max="1534" width="8.33203125" style="128" bestFit="1" customWidth="1"/>
    <col min="1535" max="1535" width="18.58203125" style="128" customWidth="1"/>
    <col min="1536" max="1536" width="17.08203125" style="128" customWidth="1"/>
    <col min="1537" max="1537" width="14.58203125" style="128" bestFit="1" customWidth="1"/>
    <col min="1538" max="1538" width="8.58203125" style="128"/>
    <col min="1539" max="1539" width="3.83203125" style="128" customWidth="1"/>
    <col min="1540" max="1540" width="14.5" style="128" bestFit="1" customWidth="1"/>
    <col min="1541" max="1541" width="7.08203125" style="128" bestFit="1" customWidth="1"/>
    <col min="1542" max="1542" width="8.58203125" style="128" bestFit="1" customWidth="1"/>
    <col min="1543" max="1543" width="5" style="128" bestFit="1" customWidth="1"/>
    <col min="1544" max="1544" width="13.5" style="128" bestFit="1" customWidth="1"/>
    <col min="1545" max="1545" width="12" style="128" customWidth="1"/>
    <col min="1546" max="1788" width="8.58203125" style="128"/>
    <col min="1789" max="1789" width="9.83203125" style="128" bestFit="1" customWidth="1"/>
    <col min="1790" max="1790" width="8.33203125" style="128" bestFit="1" customWidth="1"/>
    <col min="1791" max="1791" width="18.58203125" style="128" customWidth="1"/>
    <col min="1792" max="1792" width="17.08203125" style="128" customWidth="1"/>
    <col min="1793" max="1793" width="14.58203125" style="128" bestFit="1" customWidth="1"/>
    <col min="1794" max="1794" width="8.58203125" style="128"/>
    <col min="1795" max="1795" width="3.83203125" style="128" customWidth="1"/>
    <col min="1796" max="1796" width="14.5" style="128" bestFit="1" customWidth="1"/>
    <col min="1797" max="1797" width="7.08203125" style="128" bestFit="1" customWidth="1"/>
    <col min="1798" max="1798" width="8.58203125" style="128" bestFit="1" customWidth="1"/>
    <col min="1799" max="1799" width="5" style="128" bestFit="1" customWidth="1"/>
    <col min="1800" max="1800" width="13.5" style="128" bestFit="1" customWidth="1"/>
    <col min="1801" max="1801" width="12" style="128" customWidth="1"/>
    <col min="1802" max="2044" width="8.58203125" style="128"/>
    <col min="2045" max="2045" width="9.83203125" style="128" bestFit="1" customWidth="1"/>
    <col min="2046" max="2046" width="8.33203125" style="128" bestFit="1" customWidth="1"/>
    <col min="2047" max="2047" width="18.58203125" style="128" customWidth="1"/>
    <col min="2048" max="2048" width="17.08203125" style="128" customWidth="1"/>
    <col min="2049" max="2049" width="14.58203125" style="128" bestFit="1" customWidth="1"/>
    <col min="2050" max="2050" width="8.58203125" style="128"/>
    <col min="2051" max="2051" width="3.83203125" style="128" customWidth="1"/>
    <col min="2052" max="2052" width="14.5" style="128" bestFit="1" customWidth="1"/>
    <col min="2053" max="2053" width="7.08203125" style="128" bestFit="1" customWidth="1"/>
    <col min="2054" max="2054" width="8.58203125" style="128" bestFit="1" customWidth="1"/>
    <col min="2055" max="2055" width="5" style="128" bestFit="1" customWidth="1"/>
    <col min="2056" max="2056" width="13.5" style="128" bestFit="1" customWidth="1"/>
    <col min="2057" max="2057" width="12" style="128" customWidth="1"/>
    <col min="2058" max="2300" width="8.58203125" style="128"/>
    <col min="2301" max="2301" width="9.83203125" style="128" bestFit="1" customWidth="1"/>
    <col min="2302" max="2302" width="8.33203125" style="128" bestFit="1" customWidth="1"/>
    <col min="2303" max="2303" width="18.58203125" style="128" customWidth="1"/>
    <col min="2304" max="2304" width="17.08203125" style="128" customWidth="1"/>
    <col min="2305" max="2305" width="14.58203125" style="128" bestFit="1" customWidth="1"/>
    <col min="2306" max="2306" width="8.58203125" style="128"/>
    <col min="2307" max="2307" width="3.83203125" style="128" customWidth="1"/>
    <col min="2308" max="2308" width="14.5" style="128" bestFit="1" customWidth="1"/>
    <col min="2309" max="2309" width="7.08203125" style="128" bestFit="1" customWidth="1"/>
    <col min="2310" max="2310" width="8.58203125" style="128" bestFit="1" customWidth="1"/>
    <col min="2311" max="2311" width="5" style="128" bestFit="1" customWidth="1"/>
    <col min="2312" max="2312" width="13.5" style="128" bestFit="1" customWidth="1"/>
    <col min="2313" max="2313" width="12" style="128" customWidth="1"/>
    <col min="2314" max="2556" width="8.58203125" style="128"/>
    <col min="2557" max="2557" width="9.83203125" style="128" bestFit="1" customWidth="1"/>
    <col min="2558" max="2558" width="8.33203125" style="128" bestFit="1" customWidth="1"/>
    <col min="2559" max="2559" width="18.58203125" style="128" customWidth="1"/>
    <col min="2560" max="2560" width="17.08203125" style="128" customWidth="1"/>
    <col min="2561" max="2561" width="14.58203125" style="128" bestFit="1" customWidth="1"/>
    <col min="2562" max="2562" width="8.58203125" style="128"/>
    <col min="2563" max="2563" width="3.83203125" style="128" customWidth="1"/>
    <col min="2564" max="2564" width="14.5" style="128" bestFit="1" customWidth="1"/>
    <col min="2565" max="2565" width="7.08203125" style="128" bestFit="1" customWidth="1"/>
    <col min="2566" max="2566" width="8.58203125" style="128" bestFit="1" customWidth="1"/>
    <col min="2567" max="2567" width="5" style="128" bestFit="1" customWidth="1"/>
    <col min="2568" max="2568" width="13.5" style="128" bestFit="1" customWidth="1"/>
    <col min="2569" max="2569" width="12" style="128" customWidth="1"/>
    <col min="2570" max="2812" width="8.58203125" style="128"/>
    <col min="2813" max="2813" width="9.83203125" style="128" bestFit="1" customWidth="1"/>
    <col min="2814" max="2814" width="8.33203125" style="128" bestFit="1" customWidth="1"/>
    <col min="2815" max="2815" width="18.58203125" style="128" customWidth="1"/>
    <col min="2816" max="2816" width="17.08203125" style="128" customWidth="1"/>
    <col min="2817" max="2817" width="14.58203125" style="128" bestFit="1" customWidth="1"/>
    <col min="2818" max="2818" width="8.58203125" style="128"/>
    <col min="2819" max="2819" width="3.83203125" style="128" customWidth="1"/>
    <col min="2820" max="2820" width="14.5" style="128" bestFit="1" customWidth="1"/>
    <col min="2821" max="2821" width="7.08203125" style="128" bestFit="1" customWidth="1"/>
    <col min="2822" max="2822" width="8.58203125" style="128" bestFit="1" customWidth="1"/>
    <col min="2823" max="2823" width="5" style="128" bestFit="1" customWidth="1"/>
    <col min="2824" max="2824" width="13.5" style="128" bestFit="1" customWidth="1"/>
    <col min="2825" max="2825" width="12" style="128" customWidth="1"/>
    <col min="2826" max="3068" width="8.58203125" style="128"/>
    <col min="3069" max="3069" width="9.83203125" style="128" bestFit="1" customWidth="1"/>
    <col min="3070" max="3070" width="8.33203125" style="128" bestFit="1" customWidth="1"/>
    <col min="3071" max="3071" width="18.58203125" style="128" customWidth="1"/>
    <col min="3072" max="3072" width="17.08203125" style="128" customWidth="1"/>
    <col min="3073" max="3073" width="14.58203125" style="128" bestFit="1" customWidth="1"/>
    <col min="3074" max="3074" width="8.58203125" style="128"/>
    <col min="3075" max="3075" width="3.83203125" style="128" customWidth="1"/>
    <col min="3076" max="3076" width="14.5" style="128" bestFit="1" customWidth="1"/>
    <col min="3077" max="3077" width="7.08203125" style="128" bestFit="1" customWidth="1"/>
    <col min="3078" max="3078" width="8.58203125" style="128" bestFit="1" customWidth="1"/>
    <col min="3079" max="3079" width="5" style="128" bestFit="1" customWidth="1"/>
    <col min="3080" max="3080" width="13.5" style="128" bestFit="1" customWidth="1"/>
    <col min="3081" max="3081" width="12" style="128" customWidth="1"/>
    <col min="3082" max="3324" width="8.58203125" style="128"/>
    <col min="3325" max="3325" width="9.83203125" style="128" bestFit="1" customWidth="1"/>
    <col min="3326" max="3326" width="8.33203125" style="128" bestFit="1" customWidth="1"/>
    <col min="3327" max="3327" width="18.58203125" style="128" customWidth="1"/>
    <col min="3328" max="3328" width="17.08203125" style="128" customWidth="1"/>
    <col min="3329" max="3329" width="14.58203125" style="128" bestFit="1" customWidth="1"/>
    <col min="3330" max="3330" width="8.58203125" style="128"/>
    <col min="3331" max="3331" width="3.83203125" style="128" customWidth="1"/>
    <col min="3332" max="3332" width="14.5" style="128" bestFit="1" customWidth="1"/>
    <col min="3333" max="3333" width="7.08203125" style="128" bestFit="1" customWidth="1"/>
    <col min="3334" max="3334" width="8.58203125" style="128" bestFit="1" customWidth="1"/>
    <col min="3335" max="3335" width="5" style="128" bestFit="1" customWidth="1"/>
    <col min="3336" max="3336" width="13.5" style="128" bestFit="1" customWidth="1"/>
    <col min="3337" max="3337" width="12" style="128" customWidth="1"/>
    <col min="3338" max="3580" width="8.58203125" style="128"/>
    <col min="3581" max="3581" width="9.83203125" style="128" bestFit="1" customWidth="1"/>
    <col min="3582" max="3582" width="8.33203125" style="128" bestFit="1" customWidth="1"/>
    <col min="3583" max="3583" width="18.58203125" style="128" customWidth="1"/>
    <col min="3584" max="3584" width="17.08203125" style="128" customWidth="1"/>
    <col min="3585" max="3585" width="14.58203125" style="128" bestFit="1" customWidth="1"/>
    <col min="3586" max="3586" width="8.58203125" style="128"/>
    <col min="3587" max="3587" width="3.83203125" style="128" customWidth="1"/>
    <col min="3588" max="3588" width="14.5" style="128" bestFit="1" customWidth="1"/>
    <col min="3589" max="3589" width="7.08203125" style="128" bestFit="1" customWidth="1"/>
    <col min="3590" max="3590" width="8.58203125" style="128" bestFit="1" customWidth="1"/>
    <col min="3591" max="3591" width="5" style="128" bestFit="1" customWidth="1"/>
    <col min="3592" max="3592" width="13.5" style="128" bestFit="1" customWidth="1"/>
    <col min="3593" max="3593" width="12" style="128" customWidth="1"/>
    <col min="3594" max="3836" width="8.58203125" style="128"/>
    <col min="3837" max="3837" width="9.83203125" style="128" bestFit="1" customWidth="1"/>
    <col min="3838" max="3838" width="8.33203125" style="128" bestFit="1" customWidth="1"/>
    <col min="3839" max="3839" width="18.58203125" style="128" customWidth="1"/>
    <col min="3840" max="3840" width="17.08203125" style="128" customWidth="1"/>
    <col min="3841" max="3841" width="14.58203125" style="128" bestFit="1" customWidth="1"/>
    <col min="3842" max="3842" width="8.58203125" style="128"/>
    <col min="3843" max="3843" width="3.83203125" style="128" customWidth="1"/>
    <col min="3844" max="3844" width="14.5" style="128" bestFit="1" customWidth="1"/>
    <col min="3845" max="3845" width="7.08203125" style="128" bestFit="1" customWidth="1"/>
    <col min="3846" max="3846" width="8.58203125" style="128" bestFit="1" customWidth="1"/>
    <col min="3847" max="3847" width="5" style="128" bestFit="1" customWidth="1"/>
    <col min="3848" max="3848" width="13.5" style="128" bestFit="1" customWidth="1"/>
    <col min="3849" max="3849" width="12" style="128" customWidth="1"/>
    <col min="3850" max="4092" width="8.58203125" style="128"/>
    <col min="4093" max="4093" width="9.83203125" style="128" bestFit="1" customWidth="1"/>
    <col min="4094" max="4094" width="8.33203125" style="128" bestFit="1" customWidth="1"/>
    <col min="4095" max="4095" width="18.58203125" style="128" customWidth="1"/>
    <col min="4096" max="4096" width="17.08203125" style="128" customWidth="1"/>
    <col min="4097" max="4097" width="14.58203125" style="128" bestFit="1" customWidth="1"/>
    <col min="4098" max="4098" width="8.58203125" style="128"/>
    <col min="4099" max="4099" width="3.83203125" style="128" customWidth="1"/>
    <col min="4100" max="4100" width="14.5" style="128" bestFit="1" customWidth="1"/>
    <col min="4101" max="4101" width="7.08203125" style="128" bestFit="1" customWidth="1"/>
    <col min="4102" max="4102" width="8.58203125" style="128" bestFit="1" customWidth="1"/>
    <col min="4103" max="4103" width="5" style="128" bestFit="1" customWidth="1"/>
    <col min="4104" max="4104" width="13.5" style="128" bestFit="1" customWidth="1"/>
    <col min="4105" max="4105" width="12" style="128" customWidth="1"/>
    <col min="4106" max="4348" width="8.58203125" style="128"/>
    <col min="4349" max="4349" width="9.83203125" style="128" bestFit="1" customWidth="1"/>
    <col min="4350" max="4350" width="8.33203125" style="128" bestFit="1" customWidth="1"/>
    <col min="4351" max="4351" width="18.58203125" style="128" customWidth="1"/>
    <col min="4352" max="4352" width="17.08203125" style="128" customWidth="1"/>
    <col min="4353" max="4353" width="14.58203125" style="128" bestFit="1" customWidth="1"/>
    <col min="4354" max="4354" width="8.58203125" style="128"/>
    <col min="4355" max="4355" width="3.83203125" style="128" customWidth="1"/>
    <col min="4356" max="4356" width="14.5" style="128" bestFit="1" customWidth="1"/>
    <col min="4357" max="4357" width="7.08203125" style="128" bestFit="1" customWidth="1"/>
    <col min="4358" max="4358" width="8.58203125" style="128" bestFit="1" customWidth="1"/>
    <col min="4359" max="4359" width="5" style="128" bestFit="1" customWidth="1"/>
    <col min="4360" max="4360" width="13.5" style="128" bestFit="1" customWidth="1"/>
    <col min="4361" max="4361" width="12" style="128" customWidth="1"/>
    <col min="4362" max="4604" width="8.58203125" style="128"/>
    <col min="4605" max="4605" width="9.83203125" style="128" bestFit="1" customWidth="1"/>
    <col min="4606" max="4606" width="8.33203125" style="128" bestFit="1" customWidth="1"/>
    <col min="4607" max="4607" width="18.58203125" style="128" customWidth="1"/>
    <col min="4608" max="4608" width="17.08203125" style="128" customWidth="1"/>
    <col min="4609" max="4609" width="14.58203125" style="128" bestFit="1" customWidth="1"/>
    <col min="4610" max="4610" width="8.58203125" style="128"/>
    <col min="4611" max="4611" width="3.83203125" style="128" customWidth="1"/>
    <col min="4612" max="4612" width="14.5" style="128" bestFit="1" customWidth="1"/>
    <col min="4613" max="4613" width="7.08203125" style="128" bestFit="1" customWidth="1"/>
    <col min="4614" max="4614" width="8.58203125" style="128" bestFit="1" customWidth="1"/>
    <col min="4615" max="4615" width="5" style="128" bestFit="1" customWidth="1"/>
    <col min="4616" max="4616" width="13.5" style="128" bestFit="1" customWidth="1"/>
    <col min="4617" max="4617" width="12" style="128" customWidth="1"/>
    <col min="4618" max="4860" width="8.58203125" style="128"/>
    <col min="4861" max="4861" width="9.83203125" style="128" bestFit="1" customWidth="1"/>
    <col min="4862" max="4862" width="8.33203125" style="128" bestFit="1" customWidth="1"/>
    <col min="4863" max="4863" width="18.58203125" style="128" customWidth="1"/>
    <col min="4864" max="4864" width="17.08203125" style="128" customWidth="1"/>
    <col min="4865" max="4865" width="14.58203125" style="128" bestFit="1" customWidth="1"/>
    <col min="4866" max="4866" width="8.58203125" style="128"/>
    <col min="4867" max="4867" width="3.83203125" style="128" customWidth="1"/>
    <col min="4868" max="4868" width="14.5" style="128" bestFit="1" customWidth="1"/>
    <col min="4869" max="4869" width="7.08203125" style="128" bestFit="1" customWidth="1"/>
    <col min="4870" max="4870" width="8.58203125" style="128" bestFit="1" customWidth="1"/>
    <col min="4871" max="4871" width="5" style="128" bestFit="1" customWidth="1"/>
    <col min="4872" max="4872" width="13.5" style="128" bestFit="1" customWidth="1"/>
    <col min="4873" max="4873" width="12" style="128" customWidth="1"/>
    <col min="4874" max="5116" width="8.58203125" style="128"/>
    <col min="5117" max="5117" width="9.83203125" style="128" bestFit="1" customWidth="1"/>
    <col min="5118" max="5118" width="8.33203125" style="128" bestFit="1" customWidth="1"/>
    <col min="5119" max="5119" width="18.58203125" style="128" customWidth="1"/>
    <col min="5120" max="5120" width="17.08203125" style="128" customWidth="1"/>
    <col min="5121" max="5121" width="14.58203125" style="128" bestFit="1" customWidth="1"/>
    <col min="5122" max="5122" width="8.58203125" style="128"/>
    <col min="5123" max="5123" width="3.83203125" style="128" customWidth="1"/>
    <col min="5124" max="5124" width="14.5" style="128" bestFit="1" customWidth="1"/>
    <col min="5125" max="5125" width="7.08203125" style="128" bestFit="1" customWidth="1"/>
    <col min="5126" max="5126" width="8.58203125" style="128" bestFit="1" customWidth="1"/>
    <col min="5127" max="5127" width="5" style="128" bestFit="1" customWidth="1"/>
    <col min="5128" max="5128" width="13.5" style="128" bestFit="1" customWidth="1"/>
    <col min="5129" max="5129" width="12" style="128" customWidth="1"/>
    <col min="5130" max="5372" width="8.58203125" style="128"/>
    <col min="5373" max="5373" width="9.83203125" style="128" bestFit="1" customWidth="1"/>
    <col min="5374" max="5374" width="8.33203125" style="128" bestFit="1" customWidth="1"/>
    <col min="5375" max="5375" width="18.58203125" style="128" customWidth="1"/>
    <col min="5376" max="5376" width="17.08203125" style="128" customWidth="1"/>
    <col min="5377" max="5377" width="14.58203125" style="128" bestFit="1" customWidth="1"/>
    <col min="5378" max="5378" width="8.58203125" style="128"/>
    <col min="5379" max="5379" width="3.83203125" style="128" customWidth="1"/>
    <col min="5380" max="5380" width="14.5" style="128" bestFit="1" customWidth="1"/>
    <col min="5381" max="5381" width="7.08203125" style="128" bestFit="1" customWidth="1"/>
    <col min="5382" max="5382" width="8.58203125" style="128" bestFit="1" customWidth="1"/>
    <col min="5383" max="5383" width="5" style="128" bestFit="1" customWidth="1"/>
    <col min="5384" max="5384" width="13.5" style="128" bestFit="1" customWidth="1"/>
    <col min="5385" max="5385" width="12" style="128" customWidth="1"/>
    <col min="5386" max="5628" width="8.58203125" style="128"/>
    <col min="5629" max="5629" width="9.83203125" style="128" bestFit="1" customWidth="1"/>
    <col min="5630" max="5630" width="8.33203125" style="128" bestFit="1" customWidth="1"/>
    <col min="5631" max="5631" width="18.58203125" style="128" customWidth="1"/>
    <col min="5632" max="5632" width="17.08203125" style="128" customWidth="1"/>
    <col min="5633" max="5633" width="14.58203125" style="128" bestFit="1" customWidth="1"/>
    <col min="5634" max="5634" width="8.58203125" style="128"/>
    <col min="5635" max="5635" width="3.83203125" style="128" customWidth="1"/>
    <col min="5636" max="5636" width="14.5" style="128" bestFit="1" customWidth="1"/>
    <col min="5637" max="5637" width="7.08203125" style="128" bestFit="1" customWidth="1"/>
    <col min="5638" max="5638" width="8.58203125" style="128" bestFit="1" customWidth="1"/>
    <col min="5639" max="5639" width="5" style="128" bestFit="1" customWidth="1"/>
    <col min="5640" max="5640" width="13.5" style="128" bestFit="1" customWidth="1"/>
    <col min="5641" max="5641" width="12" style="128" customWidth="1"/>
    <col min="5642" max="5884" width="8.58203125" style="128"/>
    <col min="5885" max="5885" width="9.83203125" style="128" bestFit="1" customWidth="1"/>
    <col min="5886" max="5886" width="8.33203125" style="128" bestFit="1" customWidth="1"/>
    <col min="5887" max="5887" width="18.58203125" style="128" customWidth="1"/>
    <col min="5888" max="5888" width="17.08203125" style="128" customWidth="1"/>
    <col min="5889" max="5889" width="14.58203125" style="128" bestFit="1" customWidth="1"/>
    <col min="5890" max="5890" width="8.58203125" style="128"/>
    <col min="5891" max="5891" width="3.83203125" style="128" customWidth="1"/>
    <col min="5892" max="5892" width="14.5" style="128" bestFit="1" customWidth="1"/>
    <col min="5893" max="5893" width="7.08203125" style="128" bestFit="1" customWidth="1"/>
    <col min="5894" max="5894" width="8.58203125" style="128" bestFit="1" customWidth="1"/>
    <col min="5895" max="5895" width="5" style="128" bestFit="1" customWidth="1"/>
    <col min="5896" max="5896" width="13.5" style="128" bestFit="1" customWidth="1"/>
    <col min="5897" max="5897" width="12" style="128" customWidth="1"/>
    <col min="5898" max="6140" width="8.58203125" style="128"/>
    <col min="6141" max="6141" width="9.83203125" style="128" bestFit="1" customWidth="1"/>
    <col min="6142" max="6142" width="8.33203125" style="128" bestFit="1" customWidth="1"/>
    <col min="6143" max="6143" width="18.58203125" style="128" customWidth="1"/>
    <col min="6144" max="6144" width="17.08203125" style="128" customWidth="1"/>
    <col min="6145" max="6145" width="14.58203125" style="128" bestFit="1" customWidth="1"/>
    <col min="6146" max="6146" width="8.58203125" style="128"/>
    <col min="6147" max="6147" width="3.83203125" style="128" customWidth="1"/>
    <col min="6148" max="6148" width="14.5" style="128" bestFit="1" customWidth="1"/>
    <col min="6149" max="6149" width="7.08203125" style="128" bestFit="1" customWidth="1"/>
    <col min="6150" max="6150" width="8.58203125" style="128" bestFit="1" customWidth="1"/>
    <col min="6151" max="6151" width="5" style="128" bestFit="1" customWidth="1"/>
    <col min="6152" max="6152" width="13.5" style="128" bestFit="1" customWidth="1"/>
    <col min="6153" max="6153" width="12" style="128" customWidth="1"/>
    <col min="6154" max="6396" width="8.58203125" style="128"/>
    <col min="6397" max="6397" width="9.83203125" style="128" bestFit="1" customWidth="1"/>
    <col min="6398" max="6398" width="8.33203125" style="128" bestFit="1" customWidth="1"/>
    <col min="6399" max="6399" width="18.58203125" style="128" customWidth="1"/>
    <col min="6400" max="6400" width="17.08203125" style="128" customWidth="1"/>
    <col min="6401" max="6401" width="14.58203125" style="128" bestFit="1" customWidth="1"/>
    <col min="6402" max="6402" width="8.58203125" style="128"/>
    <col min="6403" max="6403" width="3.83203125" style="128" customWidth="1"/>
    <col min="6404" max="6404" width="14.5" style="128" bestFit="1" customWidth="1"/>
    <col min="6405" max="6405" width="7.08203125" style="128" bestFit="1" customWidth="1"/>
    <col min="6406" max="6406" width="8.58203125" style="128" bestFit="1" customWidth="1"/>
    <col min="6407" max="6407" width="5" style="128" bestFit="1" customWidth="1"/>
    <col min="6408" max="6408" width="13.5" style="128" bestFit="1" customWidth="1"/>
    <col min="6409" max="6409" width="12" style="128" customWidth="1"/>
    <col min="6410" max="6652" width="8.58203125" style="128"/>
    <col min="6653" max="6653" width="9.83203125" style="128" bestFit="1" customWidth="1"/>
    <col min="6654" max="6654" width="8.33203125" style="128" bestFit="1" customWidth="1"/>
    <col min="6655" max="6655" width="18.58203125" style="128" customWidth="1"/>
    <col min="6656" max="6656" width="17.08203125" style="128" customWidth="1"/>
    <col min="6657" max="6657" width="14.58203125" style="128" bestFit="1" customWidth="1"/>
    <col min="6658" max="6658" width="8.58203125" style="128"/>
    <col min="6659" max="6659" width="3.83203125" style="128" customWidth="1"/>
    <col min="6660" max="6660" width="14.5" style="128" bestFit="1" customWidth="1"/>
    <col min="6661" max="6661" width="7.08203125" style="128" bestFit="1" customWidth="1"/>
    <col min="6662" max="6662" width="8.58203125" style="128" bestFit="1" customWidth="1"/>
    <col min="6663" max="6663" width="5" style="128" bestFit="1" customWidth="1"/>
    <col min="6664" max="6664" width="13.5" style="128" bestFit="1" customWidth="1"/>
    <col min="6665" max="6665" width="12" style="128" customWidth="1"/>
    <col min="6666" max="6908" width="8.58203125" style="128"/>
    <col min="6909" max="6909" width="9.83203125" style="128" bestFit="1" customWidth="1"/>
    <col min="6910" max="6910" width="8.33203125" style="128" bestFit="1" customWidth="1"/>
    <col min="6911" max="6911" width="18.58203125" style="128" customWidth="1"/>
    <col min="6912" max="6912" width="17.08203125" style="128" customWidth="1"/>
    <col min="6913" max="6913" width="14.58203125" style="128" bestFit="1" customWidth="1"/>
    <col min="6914" max="6914" width="8.58203125" style="128"/>
    <col min="6915" max="6915" width="3.83203125" style="128" customWidth="1"/>
    <col min="6916" max="6916" width="14.5" style="128" bestFit="1" customWidth="1"/>
    <col min="6917" max="6917" width="7.08203125" style="128" bestFit="1" customWidth="1"/>
    <col min="6918" max="6918" width="8.58203125" style="128" bestFit="1" customWidth="1"/>
    <col min="6919" max="6919" width="5" style="128" bestFit="1" customWidth="1"/>
    <col min="6920" max="6920" width="13.5" style="128" bestFit="1" customWidth="1"/>
    <col min="6921" max="6921" width="12" style="128" customWidth="1"/>
    <col min="6922" max="7164" width="8.58203125" style="128"/>
    <col min="7165" max="7165" width="9.83203125" style="128" bestFit="1" customWidth="1"/>
    <col min="7166" max="7166" width="8.33203125" style="128" bestFit="1" customWidth="1"/>
    <col min="7167" max="7167" width="18.58203125" style="128" customWidth="1"/>
    <col min="7168" max="7168" width="17.08203125" style="128" customWidth="1"/>
    <col min="7169" max="7169" width="14.58203125" style="128" bestFit="1" customWidth="1"/>
    <col min="7170" max="7170" width="8.58203125" style="128"/>
    <col min="7171" max="7171" width="3.83203125" style="128" customWidth="1"/>
    <col min="7172" max="7172" width="14.5" style="128" bestFit="1" customWidth="1"/>
    <col min="7173" max="7173" width="7.08203125" style="128" bestFit="1" customWidth="1"/>
    <col min="7174" max="7174" width="8.58203125" style="128" bestFit="1" customWidth="1"/>
    <col min="7175" max="7175" width="5" style="128" bestFit="1" customWidth="1"/>
    <col min="7176" max="7176" width="13.5" style="128" bestFit="1" customWidth="1"/>
    <col min="7177" max="7177" width="12" style="128" customWidth="1"/>
    <col min="7178" max="7420" width="8.58203125" style="128"/>
    <col min="7421" max="7421" width="9.83203125" style="128" bestFit="1" customWidth="1"/>
    <col min="7422" max="7422" width="8.33203125" style="128" bestFit="1" customWidth="1"/>
    <col min="7423" max="7423" width="18.58203125" style="128" customWidth="1"/>
    <col min="7424" max="7424" width="17.08203125" style="128" customWidth="1"/>
    <col min="7425" max="7425" width="14.58203125" style="128" bestFit="1" customWidth="1"/>
    <col min="7426" max="7426" width="8.58203125" style="128"/>
    <col min="7427" max="7427" width="3.83203125" style="128" customWidth="1"/>
    <col min="7428" max="7428" width="14.5" style="128" bestFit="1" customWidth="1"/>
    <col min="7429" max="7429" width="7.08203125" style="128" bestFit="1" customWidth="1"/>
    <col min="7430" max="7430" width="8.58203125" style="128" bestFit="1" customWidth="1"/>
    <col min="7431" max="7431" width="5" style="128" bestFit="1" customWidth="1"/>
    <col min="7432" max="7432" width="13.5" style="128" bestFit="1" customWidth="1"/>
    <col min="7433" max="7433" width="12" style="128" customWidth="1"/>
    <col min="7434" max="7676" width="8.58203125" style="128"/>
    <col min="7677" max="7677" width="9.83203125" style="128" bestFit="1" customWidth="1"/>
    <col min="7678" max="7678" width="8.33203125" style="128" bestFit="1" customWidth="1"/>
    <col min="7679" max="7679" width="18.58203125" style="128" customWidth="1"/>
    <col min="7680" max="7680" width="17.08203125" style="128" customWidth="1"/>
    <col min="7681" max="7681" width="14.58203125" style="128" bestFit="1" customWidth="1"/>
    <col min="7682" max="7682" width="8.58203125" style="128"/>
    <col min="7683" max="7683" width="3.83203125" style="128" customWidth="1"/>
    <col min="7684" max="7684" width="14.5" style="128" bestFit="1" customWidth="1"/>
    <col min="7685" max="7685" width="7.08203125" style="128" bestFit="1" customWidth="1"/>
    <col min="7686" max="7686" width="8.58203125" style="128" bestFit="1" customWidth="1"/>
    <col min="7687" max="7687" width="5" style="128" bestFit="1" customWidth="1"/>
    <col min="7688" max="7688" width="13.5" style="128" bestFit="1" customWidth="1"/>
    <col min="7689" max="7689" width="12" style="128" customWidth="1"/>
    <col min="7690" max="7932" width="8.58203125" style="128"/>
    <col min="7933" max="7933" width="9.83203125" style="128" bestFit="1" customWidth="1"/>
    <col min="7934" max="7934" width="8.33203125" style="128" bestFit="1" customWidth="1"/>
    <col min="7935" max="7935" width="18.58203125" style="128" customWidth="1"/>
    <col min="7936" max="7936" width="17.08203125" style="128" customWidth="1"/>
    <col min="7937" max="7937" width="14.58203125" style="128" bestFit="1" customWidth="1"/>
    <col min="7938" max="7938" width="8.58203125" style="128"/>
    <col min="7939" max="7939" width="3.83203125" style="128" customWidth="1"/>
    <col min="7940" max="7940" width="14.5" style="128" bestFit="1" customWidth="1"/>
    <col min="7941" max="7941" width="7.08203125" style="128" bestFit="1" customWidth="1"/>
    <col min="7942" max="7942" width="8.58203125" style="128" bestFit="1" customWidth="1"/>
    <col min="7943" max="7943" width="5" style="128" bestFit="1" customWidth="1"/>
    <col min="7944" max="7944" width="13.5" style="128" bestFit="1" customWidth="1"/>
    <col min="7945" max="7945" width="12" style="128" customWidth="1"/>
    <col min="7946" max="8188" width="8.58203125" style="128"/>
    <col min="8189" max="8189" width="9.83203125" style="128" bestFit="1" customWidth="1"/>
    <col min="8190" max="8190" width="8.33203125" style="128" bestFit="1" customWidth="1"/>
    <col min="8191" max="8191" width="18.58203125" style="128" customWidth="1"/>
    <col min="8192" max="8192" width="17.08203125" style="128" customWidth="1"/>
    <col min="8193" max="8193" width="14.58203125" style="128" bestFit="1" customWidth="1"/>
    <col min="8194" max="8194" width="8.58203125" style="128"/>
    <col min="8195" max="8195" width="3.83203125" style="128" customWidth="1"/>
    <col min="8196" max="8196" width="14.5" style="128" bestFit="1" customWidth="1"/>
    <col min="8197" max="8197" width="7.08203125" style="128" bestFit="1" customWidth="1"/>
    <col min="8198" max="8198" width="8.58203125" style="128" bestFit="1" customWidth="1"/>
    <col min="8199" max="8199" width="5" style="128" bestFit="1" customWidth="1"/>
    <col min="8200" max="8200" width="13.5" style="128" bestFit="1" customWidth="1"/>
    <col min="8201" max="8201" width="12" style="128" customWidth="1"/>
    <col min="8202" max="8444" width="8.58203125" style="128"/>
    <col min="8445" max="8445" width="9.83203125" style="128" bestFit="1" customWidth="1"/>
    <col min="8446" max="8446" width="8.33203125" style="128" bestFit="1" customWidth="1"/>
    <col min="8447" max="8447" width="18.58203125" style="128" customWidth="1"/>
    <col min="8448" max="8448" width="17.08203125" style="128" customWidth="1"/>
    <col min="8449" max="8449" width="14.58203125" style="128" bestFit="1" customWidth="1"/>
    <col min="8450" max="8450" width="8.58203125" style="128"/>
    <col min="8451" max="8451" width="3.83203125" style="128" customWidth="1"/>
    <col min="8452" max="8452" width="14.5" style="128" bestFit="1" customWidth="1"/>
    <col min="8453" max="8453" width="7.08203125" style="128" bestFit="1" customWidth="1"/>
    <col min="8454" max="8454" width="8.58203125" style="128" bestFit="1" customWidth="1"/>
    <col min="8455" max="8455" width="5" style="128" bestFit="1" customWidth="1"/>
    <col min="8456" max="8456" width="13.5" style="128" bestFit="1" customWidth="1"/>
    <col min="8457" max="8457" width="12" style="128" customWidth="1"/>
    <col min="8458" max="8700" width="8.58203125" style="128"/>
    <col min="8701" max="8701" width="9.83203125" style="128" bestFit="1" customWidth="1"/>
    <col min="8702" max="8702" width="8.33203125" style="128" bestFit="1" customWidth="1"/>
    <col min="8703" max="8703" width="18.58203125" style="128" customWidth="1"/>
    <col min="8704" max="8704" width="17.08203125" style="128" customWidth="1"/>
    <col min="8705" max="8705" width="14.58203125" style="128" bestFit="1" customWidth="1"/>
    <col min="8706" max="8706" width="8.58203125" style="128"/>
    <col min="8707" max="8707" width="3.83203125" style="128" customWidth="1"/>
    <col min="8708" max="8708" width="14.5" style="128" bestFit="1" customWidth="1"/>
    <col min="8709" max="8709" width="7.08203125" style="128" bestFit="1" customWidth="1"/>
    <col min="8710" max="8710" width="8.58203125" style="128" bestFit="1" customWidth="1"/>
    <col min="8711" max="8711" width="5" style="128" bestFit="1" customWidth="1"/>
    <col min="8712" max="8712" width="13.5" style="128" bestFit="1" customWidth="1"/>
    <col min="8713" max="8713" width="12" style="128" customWidth="1"/>
    <col min="8714" max="8956" width="8.58203125" style="128"/>
    <col min="8957" max="8957" width="9.83203125" style="128" bestFit="1" customWidth="1"/>
    <col min="8958" max="8958" width="8.33203125" style="128" bestFit="1" customWidth="1"/>
    <col min="8959" max="8959" width="18.58203125" style="128" customWidth="1"/>
    <col min="8960" max="8960" width="17.08203125" style="128" customWidth="1"/>
    <col min="8961" max="8961" width="14.58203125" style="128" bestFit="1" customWidth="1"/>
    <col min="8962" max="8962" width="8.58203125" style="128"/>
    <col min="8963" max="8963" width="3.83203125" style="128" customWidth="1"/>
    <col min="8964" max="8964" width="14.5" style="128" bestFit="1" customWidth="1"/>
    <col min="8965" max="8965" width="7.08203125" style="128" bestFit="1" customWidth="1"/>
    <col min="8966" max="8966" width="8.58203125" style="128" bestFit="1" customWidth="1"/>
    <col min="8967" max="8967" width="5" style="128" bestFit="1" customWidth="1"/>
    <col min="8968" max="8968" width="13.5" style="128" bestFit="1" customWidth="1"/>
    <col min="8969" max="8969" width="12" style="128" customWidth="1"/>
    <col min="8970" max="9212" width="8.58203125" style="128"/>
    <col min="9213" max="9213" width="9.83203125" style="128" bestFit="1" customWidth="1"/>
    <col min="9214" max="9214" width="8.33203125" style="128" bestFit="1" customWidth="1"/>
    <col min="9215" max="9215" width="18.58203125" style="128" customWidth="1"/>
    <col min="9216" max="9216" width="17.08203125" style="128" customWidth="1"/>
    <col min="9217" max="9217" width="14.58203125" style="128" bestFit="1" customWidth="1"/>
    <col min="9218" max="9218" width="8.58203125" style="128"/>
    <col min="9219" max="9219" width="3.83203125" style="128" customWidth="1"/>
    <col min="9220" max="9220" width="14.5" style="128" bestFit="1" customWidth="1"/>
    <col min="9221" max="9221" width="7.08203125" style="128" bestFit="1" customWidth="1"/>
    <col min="9222" max="9222" width="8.58203125" style="128" bestFit="1" customWidth="1"/>
    <col min="9223" max="9223" width="5" style="128" bestFit="1" customWidth="1"/>
    <col min="9224" max="9224" width="13.5" style="128" bestFit="1" customWidth="1"/>
    <col min="9225" max="9225" width="12" style="128" customWidth="1"/>
    <col min="9226" max="9468" width="8.58203125" style="128"/>
    <col min="9469" max="9469" width="9.83203125" style="128" bestFit="1" customWidth="1"/>
    <col min="9470" max="9470" width="8.33203125" style="128" bestFit="1" customWidth="1"/>
    <col min="9471" max="9471" width="18.58203125" style="128" customWidth="1"/>
    <col min="9472" max="9472" width="17.08203125" style="128" customWidth="1"/>
    <col min="9473" max="9473" width="14.58203125" style="128" bestFit="1" customWidth="1"/>
    <col min="9474" max="9474" width="8.58203125" style="128"/>
    <col min="9475" max="9475" width="3.83203125" style="128" customWidth="1"/>
    <col min="9476" max="9476" width="14.5" style="128" bestFit="1" customWidth="1"/>
    <col min="9477" max="9477" width="7.08203125" style="128" bestFit="1" customWidth="1"/>
    <col min="9478" max="9478" width="8.58203125" style="128" bestFit="1" customWidth="1"/>
    <col min="9479" max="9479" width="5" style="128" bestFit="1" customWidth="1"/>
    <col min="9480" max="9480" width="13.5" style="128" bestFit="1" customWidth="1"/>
    <col min="9481" max="9481" width="12" style="128" customWidth="1"/>
    <col min="9482" max="9724" width="8.58203125" style="128"/>
    <col min="9725" max="9725" width="9.83203125" style="128" bestFit="1" customWidth="1"/>
    <col min="9726" max="9726" width="8.33203125" style="128" bestFit="1" customWidth="1"/>
    <col min="9727" max="9727" width="18.58203125" style="128" customWidth="1"/>
    <col min="9728" max="9728" width="17.08203125" style="128" customWidth="1"/>
    <col min="9729" max="9729" width="14.58203125" style="128" bestFit="1" customWidth="1"/>
    <col min="9730" max="9730" width="8.58203125" style="128"/>
    <col min="9731" max="9731" width="3.83203125" style="128" customWidth="1"/>
    <col min="9732" max="9732" width="14.5" style="128" bestFit="1" customWidth="1"/>
    <col min="9733" max="9733" width="7.08203125" style="128" bestFit="1" customWidth="1"/>
    <col min="9734" max="9734" width="8.58203125" style="128" bestFit="1" customWidth="1"/>
    <col min="9735" max="9735" width="5" style="128" bestFit="1" customWidth="1"/>
    <col min="9736" max="9736" width="13.5" style="128" bestFit="1" customWidth="1"/>
    <col min="9737" max="9737" width="12" style="128" customWidth="1"/>
    <col min="9738" max="9980" width="8.58203125" style="128"/>
    <col min="9981" max="9981" width="9.83203125" style="128" bestFit="1" customWidth="1"/>
    <col min="9982" max="9982" width="8.33203125" style="128" bestFit="1" customWidth="1"/>
    <col min="9983" max="9983" width="18.58203125" style="128" customWidth="1"/>
    <col min="9984" max="9984" width="17.08203125" style="128" customWidth="1"/>
    <col min="9985" max="9985" width="14.58203125" style="128" bestFit="1" customWidth="1"/>
    <col min="9986" max="9986" width="8.58203125" style="128"/>
    <col min="9987" max="9987" width="3.83203125" style="128" customWidth="1"/>
    <col min="9988" max="9988" width="14.5" style="128" bestFit="1" customWidth="1"/>
    <col min="9989" max="9989" width="7.08203125" style="128" bestFit="1" customWidth="1"/>
    <col min="9990" max="9990" width="8.58203125" style="128" bestFit="1" customWidth="1"/>
    <col min="9991" max="9991" width="5" style="128" bestFit="1" customWidth="1"/>
    <col min="9992" max="9992" width="13.5" style="128" bestFit="1" customWidth="1"/>
    <col min="9993" max="9993" width="12" style="128" customWidth="1"/>
    <col min="9994" max="10236" width="8.58203125" style="128"/>
    <col min="10237" max="10237" width="9.83203125" style="128" bestFit="1" customWidth="1"/>
    <col min="10238" max="10238" width="8.33203125" style="128" bestFit="1" customWidth="1"/>
    <col min="10239" max="10239" width="18.58203125" style="128" customWidth="1"/>
    <col min="10240" max="10240" width="17.08203125" style="128" customWidth="1"/>
    <col min="10241" max="10241" width="14.58203125" style="128" bestFit="1" customWidth="1"/>
    <col min="10242" max="10242" width="8.58203125" style="128"/>
    <col min="10243" max="10243" width="3.83203125" style="128" customWidth="1"/>
    <col min="10244" max="10244" width="14.5" style="128" bestFit="1" customWidth="1"/>
    <col min="10245" max="10245" width="7.08203125" style="128" bestFit="1" customWidth="1"/>
    <col min="10246" max="10246" width="8.58203125" style="128" bestFit="1" customWidth="1"/>
    <col min="10247" max="10247" width="5" style="128" bestFit="1" customWidth="1"/>
    <col min="10248" max="10248" width="13.5" style="128" bestFit="1" customWidth="1"/>
    <col min="10249" max="10249" width="12" style="128" customWidth="1"/>
    <col min="10250" max="10492" width="8.58203125" style="128"/>
    <col min="10493" max="10493" width="9.83203125" style="128" bestFit="1" customWidth="1"/>
    <col min="10494" max="10494" width="8.33203125" style="128" bestFit="1" customWidth="1"/>
    <col min="10495" max="10495" width="18.58203125" style="128" customWidth="1"/>
    <col min="10496" max="10496" width="17.08203125" style="128" customWidth="1"/>
    <col min="10497" max="10497" width="14.58203125" style="128" bestFit="1" customWidth="1"/>
    <col min="10498" max="10498" width="8.58203125" style="128"/>
    <col min="10499" max="10499" width="3.83203125" style="128" customWidth="1"/>
    <col min="10500" max="10500" width="14.5" style="128" bestFit="1" customWidth="1"/>
    <col min="10501" max="10501" width="7.08203125" style="128" bestFit="1" customWidth="1"/>
    <col min="10502" max="10502" width="8.58203125" style="128" bestFit="1" customWidth="1"/>
    <col min="10503" max="10503" width="5" style="128" bestFit="1" customWidth="1"/>
    <col min="10504" max="10504" width="13.5" style="128" bestFit="1" customWidth="1"/>
    <col min="10505" max="10505" width="12" style="128" customWidth="1"/>
    <col min="10506" max="10748" width="8.58203125" style="128"/>
    <col min="10749" max="10749" width="9.83203125" style="128" bestFit="1" customWidth="1"/>
    <col min="10750" max="10750" width="8.33203125" style="128" bestFit="1" customWidth="1"/>
    <col min="10751" max="10751" width="18.58203125" style="128" customWidth="1"/>
    <col min="10752" max="10752" width="17.08203125" style="128" customWidth="1"/>
    <col min="10753" max="10753" width="14.58203125" style="128" bestFit="1" customWidth="1"/>
    <col min="10754" max="10754" width="8.58203125" style="128"/>
    <col min="10755" max="10755" width="3.83203125" style="128" customWidth="1"/>
    <col min="10756" max="10756" width="14.5" style="128" bestFit="1" customWidth="1"/>
    <col min="10757" max="10757" width="7.08203125" style="128" bestFit="1" customWidth="1"/>
    <col min="10758" max="10758" width="8.58203125" style="128" bestFit="1" customWidth="1"/>
    <col min="10759" max="10759" width="5" style="128" bestFit="1" customWidth="1"/>
    <col min="10760" max="10760" width="13.5" style="128" bestFit="1" customWidth="1"/>
    <col min="10761" max="10761" width="12" style="128" customWidth="1"/>
    <col min="10762" max="11004" width="8.58203125" style="128"/>
    <col min="11005" max="11005" width="9.83203125" style="128" bestFit="1" customWidth="1"/>
    <col min="11006" max="11006" width="8.33203125" style="128" bestFit="1" customWidth="1"/>
    <col min="11007" max="11007" width="18.58203125" style="128" customWidth="1"/>
    <col min="11008" max="11008" width="17.08203125" style="128" customWidth="1"/>
    <col min="11009" max="11009" width="14.58203125" style="128" bestFit="1" customWidth="1"/>
    <col min="11010" max="11010" width="8.58203125" style="128"/>
    <col min="11011" max="11011" width="3.83203125" style="128" customWidth="1"/>
    <col min="11012" max="11012" width="14.5" style="128" bestFit="1" customWidth="1"/>
    <col min="11013" max="11013" width="7.08203125" style="128" bestFit="1" customWidth="1"/>
    <col min="11014" max="11014" width="8.58203125" style="128" bestFit="1" customWidth="1"/>
    <col min="11015" max="11015" width="5" style="128" bestFit="1" customWidth="1"/>
    <col min="11016" max="11016" width="13.5" style="128" bestFit="1" customWidth="1"/>
    <col min="11017" max="11017" width="12" style="128" customWidth="1"/>
    <col min="11018" max="11260" width="8.58203125" style="128"/>
    <col min="11261" max="11261" width="9.83203125" style="128" bestFit="1" customWidth="1"/>
    <col min="11262" max="11262" width="8.33203125" style="128" bestFit="1" customWidth="1"/>
    <col min="11263" max="11263" width="18.58203125" style="128" customWidth="1"/>
    <col min="11264" max="11264" width="17.08203125" style="128" customWidth="1"/>
    <col min="11265" max="11265" width="14.58203125" style="128" bestFit="1" customWidth="1"/>
    <col min="11266" max="11266" width="8.58203125" style="128"/>
    <col min="11267" max="11267" width="3.83203125" style="128" customWidth="1"/>
    <col min="11268" max="11268" width="14.5" style="128" bestFit="1" customWidth="1"/>
    <col min="11269" max="11269" width="7.08203125" style="128" bestFit="1" customWidth="1"/>
    <col min="11270" max="11270" width="8.58203125" style="128" bestFit="1" customWidth="1"/>
    <col min="11271" max="11271" width="5" style="128" bestFit="1" customWidth="1"/>
    <col min="11272" max="11272" width="13.5" style="128" bestFit="1" customWidth="1"/>
    <col min="11273" max="11273" width="12" style="128" customWidth="1"/>
    <col min="11274" max="11516" width="8.58203125" style="128"/>
    <col min="11517" max="11517" width="9.83203125" style="128" bestFit="1" customWidth="1"/>
    <col min="11518" max="11518" width="8.33203125" style="128" bestFit="1" customWidth="1"/>
    <col min="11519" max="11519" width="18.58203125" style="128" customWidth="1"/>
    <col min="11520" max="11520" width="17.08203125" style="128" customWidth="1"/>
    <col min="11521" max="11521" width="14.58203125" style="128" bestFit="1" customWidth="1"/>
    <col min="11522" max="11522" width="8.58203125" style="128"/>
    <col min="11523" max="11523" width="3.83203125" style="128" customWidth="1"/>
    <col min="11524" max="11524" width="14.5" style="128" bestFit="1" customWidth="1"/>
    <col min="11525" max="11525" width="7.08203125" style="128" bestFit="1" customWidth="1"/>
    <col min="11526" max="11526" width="8.58203125" style="128" bestFit="1" customWidth="1"/>
    <col min="11527" max="11527" width="5" style="128" bestFit="1" customWidth="1"/>
    <col min="11528" max="11528" width="13.5" style="128" bestFit="1" customWidth="1"/>
    <col min="11529" max="11529" width="12" style="128" customWidth="1"/>
    <col min="11530" max="11772" width="8.58203125" style="128"/>
    <col min="11773" max="11773" width="9.83203125" style="128" bestFit="1" customWidth="1"/>
    <col min="11774" max="11774" width="8.33203125" style="128" bestFit="1" customWidth="1"/>
    <col min="11775" max="11775" width="18.58203125" style="128" customWidth="1"/>
    <col min="11776" max="11776" width="17.08203125" style="128" customWidth="1"/>
    <col min="11777" max="11777" width="14.58203125" style="128" bestFit="1" customWidth="1"/>
    <col min="11778" max="11778" width="8.58203125" style="128"/>
    <col min="11779" max="11779" width="3.83203125" style="128" customWidth="1"/>
    <col min="11780" max="11780" width="14.5" style="128" bestFit="1" customWidth="1"/>
    <col min="11781" max="11781" width="7.08203125" style="128" bestFit="1" customWidth="1"/>
    <col min="11782" max="11782" width="8.58203125" style="128" bestFit="1" customWidth="1"/>
    <col min="11783" max="11783" width="5" style="128" bestFit="1" customWidth="1"/>
    <col min="11784" max="11784" width="13.5" style="128" bestFit="1" customWidth="1"/>
    <col min="11785" max="11785" width="12" style="128" customWidth="1"/>
    <col min="11786" max="12028" width="8.58203125" style="128"/>
    <col min="12029" max="12029" width="9.83203125" style="128" bestFit="1" customWidth="1"/>
    <col min="12030" max="12030" width="8.33203125" style="128" bestFit="1" customWidth="1"/>
    <col min="12031" max="12031" width="18.58203125" style="128" customWidth="1"/>
    <col min="12032" max="12032" width="17.08203125" style="128" customWidth="1"/>
    <col min="12033" max="12033" width="14.58203125" style="128" bestFit="1" customWidth="1"/>
    <col min="12034" max="12034" width="8.58203125" style="128"/>
    <col min="12035" max="12035" width="3.83203125" style="128" customWidth="1"/>
    <col min="12036" max="12036" width="14.5" style="128" bestFit="1" customWidth="1"/>
    <col min="12037" max="12037" width="7.08203125" style="128" bestFit="1" customWidth="1"/>
    <col min="12038" max="12038" width="8.58203125" style="128" bestFit="1" customWidth="1"/>
    <col min="12039" max="12039" width="5" style="128" bestFit="1" customWidth="1"/>
    <col min="12040" max="12040" width="13.5" style="128" bestFit="1" customWidth="1"/>
    <col min="12041" max="12041" width="12" style="128" customWidth="1"/>
    <col min="12042" max="12284" width="8.58203125" style="128"/>
    <col min="12285" max="12285" width="9.83203125" style="128" bestFit="1" customWidth="1"/>
    <col min="12286" max="12286" width="8.33203125" style="128" bestFit="1" customWidth="1"/>
    <col min="12287" max="12287" width="18.58203125" style="128" customWidth="1"/>
    <col min="12288" max="12288" width="17.08203125" style="128" customWidth="1"/>
    <col min="12289" max="12289" width="14.58203125" style="128" bestFit="1" customWidth="1"/>
    <col min="12290" max="12290" width="8.58203125" style="128"/>
    <col min="12291" max="12291" width="3.83203125" style="128" customWidth="1"/>
    <col min="12292" max="12292" width="14.5" style="128" bestFit="1" customWidth="1"/>
    <col min="12293" max="12293" width="7.08203125" style="128" bestFit="1" customWidth="1"/>
    <col min="12294" max="12294" width="8.58203125" style="128" bestFit="1" customWidth="1"/>
    <col min="12295" max="12295" width="5" style="128" bestFit="1" customWidth="1"/>
    <col min="12296" max="12296" width="13.5" style="128" bestFit="1" customWidth="1"/>
    <col min="12297" max="12297" width="12" style="128" customWidth="1"/>
    <col min="12298" max="12540" width="8.58203125" style="128"/>
    <col min="12541" max="12541" width="9.83203125" style="128" bestFit="1" customWidth="1"/>
    <col min="12542" max="12542" width="8.33203125" style="128" bestFit="1" customWidth="1"/>
    <col min="12543" max="12543" width="18.58203125" style="128" customWidth="1"/>
    <col min="12544" max="12544" width="17.08203125" style="128" customWidth="1"/>
    <col min="12545" max="12545" width="14.58203125" style="128" bestFit="1" customWidth="1"/>
    <col min="12546" max="12546" width="8.58203125" style="128"/>
    <col min="12547" max="12547" width="3.83203125" style="128" customWidth="1"/>
    <col min="12548" max="12548" width="14.5" style="128" bestFit="1" customWidth="1"/>
    <col min="12549" max="12549" width="7.08203125" style="128" bestFit="1" customWidth="1"/>
    <col min="12550" max="12550" width="8.58203125" style="128" bestFit="1" customWidth="1"/>
    <col min="12551" max="12551" width="5" style="128" bestFit="1" customWidth="1"/>
    <col min="12552" max="12552" width="13.5" style="128" bestFit="1" customWidth="1"/>
    <col min="12553" max="12553" width="12" style="128" customWidth="1"/>
    <col min="12554" max="12796" width="8.58203125" style="128"/>
    <col min="12797" max="12797" width="9.83203125" style="128" bestFit="1" customWidth="1"/>
    <col min="12798" max="12798" width="8.33203125" style="128" bestFit="1" customWidth="1"/>
    <col min="12799" max="12799" width="18.58203125" style="128" customWidth="1"/>
    <col min="12800" max="12800" width="17.08203125" style="128" customWidth="1"/>
    <col min="12801" max="12801" width="14.58203125" style="128" bestFit="1" customWidth="1"/>
    <col min="12802" max="12802" width="8.58203125" style="128"/>
    <col min="12803" max="12803" width="3.83203125" style="128" customWidth="1"/>
    <col min="12804" max="12804" width="14.5" style="128" bestFit="1" customWidth="1"/>
    <col min="12805" max="12805" width="7.08203125" style="128" bestFit="1" customWidth="1"/>
    <col min="12806" max="12806" width="8.58203125" style="128" bestFit="1" customWidth="1"/>
    <col min="12807" max="12807" width="5" style="128" bestFit="1" customWidth="1"/>
    <col min="12808" max="12808" width="13.5" style="128" bestFit="1" customWidth="1"/>
    <col min="12809" max="12809" width="12" style="128" customWidth="1"/>
    <col min="12810" max="13052" width="8.58203125" style="128"/>
    <col min="13053" max="13053" width="9.83203125" style="128" bestFit="1" customWidth="1"/>
    <col min="13054" max="13054" width="8.33203125" style="128" bestFit="1" customWidth="1"/>
    <col min="13055" max="13055" width="18.58203125" style="128" customWidth="1"/>
    <col min="13056" max="13056" width="17.08203125" style="128" customWidth="1"/>
    <col min="13057" max="13057" width="14.58203125" style="128" bestFit="1" customWidth="1"/>
    <col min="13058" max="13058" width="8.58203125" style="128"/>
    <col min="13059" max="13059" width="3.83203125" style="128" customWidth="1"/>
    <col min="13060" max="13060" width="14.5" style="128" bestFit="1" customWidth="1"/>
    <col min="13061" max="13061" width="7.08203125" style="128" bestFit="1" customWidth="1"/>
    <col min="13062" max="13062" width="8.58203125" style="128" bestFit="1" customWidth="1"/>
    <col min="13063" max="13063" width="5" style="128" bestFit="1" customWidth="1"/>
    <col min="13064" max="13064" width="13.5" style="128" bestFit="1" customWidth="1"/>
    <col min="13065" max="13065" width="12" style="128" customWidth="1"/>
    <col min="13066" max="13308" width="8.58203125" style="128"/>
    <col min="13309" max="13309" width="9.83203125" style="128" bestFit="1" customWidth="1"/>
    <col min="13310" max="13310" width="8.33203125" style="128" bestFit="1" customWidth="1"/>
    <col min="13311" max="13311" width="18.58203125" style="128" customWidth="1"/>
    <col min="13312" max="13312" width="17.08203125" style="128" customWidth="1"/>
    <col min="13313" max="13313" width="14.58203125" style="128" bestFit="1" customWidth="1"/>
    <col min="13314" max="13314" width="8.58203125" style="128"/>
    <col min="13315" max="13315" width="3.83203125" style="128" customWidth="1"/>
    <col min="13316" max="13316" width="14.5" style="128" bestFit="1" customWidth="1"/>
    <col min="13317" max="13317" width="7.08203125" style="128" bestFit="1" customWidth="1"/>
    <col min="13318" max="13318" width="8.58203125" style="128" bestFit="1" customWidth="1"/>
    <col min="13319" max="13319" width="5" style="128" bestFit="1" customWidth="1"/>
    <col min="13320" max="13320" width="13.5" style="128" bestFit="1" customWidth="1"/>
    <col min="13321" max="13321" width="12" style="128" customWidth="1"/>
    <col min="13322" max="13564" width="8.58203125" style="128"/>
    <col min="13565" max="13565" width="9.83203125" style="128" bestFit="1" customWidth="1"/>
    <col min="13566" max="13566" width="8.33203125" style="128" bestFit="1" customWidth="1"/>
    <col min="13567" max="13567" width="18.58203125" style="128" customWidth="1"/>
    <col min="13568" max="13568" width="17.08203125" style="128" customWidth="1"/>
    <col min="13569" max="13569" width="14.58203125" style="128" bestFit="1" customWidth="1"/>
    <col min="13570" max="13570" width="8.58203125" style="128"/>
    <col min="13571" max="13571" width="3.83203125" style="128" customWidth="1"/>
    <col min="13572" max="13572" width="14.5" style="128" bestFit="1" customWidth="1"/>
    <col min="13573" max="13573" width="7.08203125" style="128" bestFit="1" customWidth="1"/>
    <col min="13574" max="13574" width="8.58203125" style="128" bestFit="1" customWidth="1"/>
    <col min="13575" max="13575" width="5" style="128" bestFit="1" customWidth="1"/>
    <col min="13576" max="13576" width="13.5" style="128" bestFit="1" customWidth="1"/>
    <col min="13577" max="13577" width="12" style="128" customWidth="1"/>
    <col min="13578" max="13820" width="8.58203125" style="128"/>
    <col min="13821" max="13821" width="9.83203125" style="128" bestFit="1" customWidth="1"/>
    <col min="13822" max="13822" width="8.33203125" style="128" bestFit="1" customWidth="1"/>
    <col min="13823" max="13823" width="18.58203125" style="128" customWidth="1"/>
    <col min="13824" max="13824" width="17.08203125" style="128" customWidth="1"/>
    <col min="13825" max="13825" width="14.58203125" style="128" bestFit="1" customWidth="1"/>
    <col min="13826" max="13826" width="8.58203125" style="128"/>
    <col min="13827" max="13827" width="3.83203125" style="128" customWidth="1"/>
    <col min="13828" max="13828" width="14.5" style="128" bestFit="1" customWidth="1"/>
    <col min="13829" max="13829" width="7.08203125" style="128" bestFit="1" customWidth="1"/>
    <col min="13830" max="13830" width="8.58203125" style="128" bestFit="1" customWidth="1"/>
    <col min="13831" max="13831" width="5" style="128" bestFit="1" customWidth="1"/>
    <col min="13832" max="13832" width="13.5" style="128" bestFit="1" customWidth="1"/>
    <col min="13833" max="13833" width="12" style="128" customWidth="1"/>
    <col min="13834" max="14076" width="8.58203125" style="128"/>
    <col min="14077" max="14077" width="9.83203125" style="128" bestFit="1" customWidth="1"/>
    <col min="14078" max="14078" width="8.33203125" style="128" bestFit="1" customWidth="1"/>
    <col min="14079" max="14079" width="18.58203125" style="128" customWidth="1"/>
    <col min="14080" max="14080" width="17.08203125" style="128" customWidth="1"/>
    <col min="14081" max="14081" width="14.58203125" style="128" bestFit="1" customWidth="1"/>
    <col min="14082" max="14082" width="8.58203125" style="128"/>
    <col min="14083" max="14083" width="3.83203125" style="128" customWidth="1"/>
    <col min="14084" max="14084" width="14.5" style="128" bestFit="1" customWidth="1"/>
    <col min="14085" max="14085" width="7.08203125" style="128" bestFit="1" customWidth="1"/>
    <col min="14086" max="14086" width="8.58203125" style="128" bestFit="1" customWidth="1"/>
    <col min="14087" max="14087" width="5" style="128" bestFit="1" customWidth="1"/>
    <col min="14088" max="14088" width="13.5" style="128" bestFit="1" customWidth="1"/>
    <col min="14089" max="14089" width="12" style="128" customWidth="1"/>
    <col min="14090" max="14332" width="8.58203125" style="128"/>
    <col min="14333" max="14333" width="9.83203125" style="128" bestFit="1" customWidth="1"/>
    <col min="14334" max="14334" width="8.33203125" style="128" bestFit="1" customWidth="1"/>
    <col min="14335" max="14335" width="18.58203125" style="128" customWidth="1"/>
    <col min="14336" max="14336" width="17.08203125" style="128" customWidth="1"/>
    <col min="14337" max="14337" width="14.58203125" style="128" bestFit="1" customWidth="1"/>
    <col min="14338" max="14338" width="8.58203125" style="128"/>
    <col min="14339" max="14339" width="3.83203125" style="128" customWidth="1"/>
    <col min="14340" max="14340" width="14.5" style="128" bestFit="1" customWidth="1"/>
    <col min="14341" max="14341" width="7.08203125" style="128" bestFit="1" customWidth="1"/>
    <col min="14342" max="14342" width="8.58203125" style="128" bestFit="1" customWidth="1"/>
    <col min="14343" max="14343" width="5" style="128" bestFit="1" customWidth="1"/>
    <col min="14344" max="14344" width="13.5" style="128" bestFit="1" customWidth="1"/>
    <col min="14345" max="14345" width="12" style="128" customWidth="1"/>
    <col min="14346" max="14588" width="8.58203125" style="128"/>
    <col min="14589" max="14589" width="9.83203125" style="128" bestFit="1" customWidth="1"/>
    <col min="14590" max="14590" width="8.33203125" style="128" bestFit="1" customWidth="1"/>
    <col min="14591" max="14591" width="18.58203125" style="128" customWidth="1"/>
    <col min="14592" max="14592" width="17.08203125" style="128" customWidth="1"/>
    <col min="14593" max="14593" width="14.58203125" style="128" bestFit="1" customWidth="1"/>
    <col min="14594" max="14594" width="8.58203125" style="128"/>
    <col min="14595" max="14595" width="3.83203125" style="128" customWidth="1"/>
    <col min="14596" max="14596" width="14.5" style="128" bestFit="1" customWidth="1"/>
    <col min="14597" max="14597" width="7.08203125" style="128" bestFit="1" customWidth="1"/>
    <col min="14598" max="14598" width="8.58203125" style="128" bestFit="1" customWidth="1"/>
    <col min="14599" max="14599" width="5" style="128" bestFit="1" customWidth="1"/>
    <col min="14600" max="14600" width="13.5" style="128" bestFit="1" customWidth="1"/>
    <col min="14601" max="14601" width="12" style="128" customWidth="1"/>
    <col min="14602" max="14844" width="8.58203125" style="128"/>
    <col min="14845" max="14845" width="9.83203125" style="128" bestFit="1" customWidth="1"/>
    <col min="14846" max="14846" width="8.33203125" style="128" bestFit="1" customWidth="1"/>
    <col min="14847" max="14847" width="18.58203125" style="128" customWidth="1"/>
    <col min="14848" max="14848" width="17.08203125" style="128" customWidth="1"/>
    <col min="14849" max="14849" width="14.58203125" style="128" bestFit="1" customWidth="1"/>
    <col min="14850" max="14850" width="8.58203125" style="128"/>
    <col min="14851" max="14851" width="3.83203125" style="128" customWidth="1"/>
    <col min="14852" max="14852" width="14.5" style="128" bestFit="1" customWidth="1"/>
    <col min="14853" max="14853" width="7.08203125" style="128" bestFit="1" customWidth="1"/>
    <col min="14854" max="14854" width="8.58203125" style="128" bestFit="1" customWidth="1"/>
    <col min="14855" max="14855" width="5" style="128" bestFit="1" customWidth="1"/>
    <col min="14856" max="14856" width="13.5" style="128" bestFit="1" customWidth="1"/>
    <col min="14857" max="14857" width="12" style="128" customWidth="1"/>
    <col min="14858" max="15100" width="8.58203125" style="128"/>
    <col min="15101" max="15101" width="9.83203125" style="128" bestFit="1" customWidth="1"/>
    <col min="15102" max="15102" width="8.33203125" style="128" bestFit="1" customWidth="1"/>
    <col min="15103" max="15103" width="18.58203125" style="128" customWidth="1"/>
    <col min="15104" max="15104" width="17.08203125" style="128" customWidth="1"/>
    <col min="15105" max="15105" width="14.58203125" style="128" bestFit="1" customWidth="1"/>
    <col min="15106" max="15106" width="8.58203125" style="128"/>
    <col min="15107" max="15107" width="3.83203125" style="128" customWidth="1"/>
    <col min="15108" max="15108" width="14.5" style="128" bestFit="1" customWidth="1"/>
    <col min="15109" max="15109" width="7.08203125" style="128" bestFit="1" customWidth="1"/>
    <col min="15110" max="15110" width="8.58203125" style="128" bestFit="1" customWidth="1"/>
    <col min="15111" max="15111" width="5" style="128" bestFit="1" customWidth="1"/>
    <col min="15112" max="15112" width="13.5" style="128" bestFit="1" customWidth="1"/>
    <col min="15113" max="15113" width="12" style="128" customWidth="1"/>
    <col min="15114" max="15356" width="8.58203125" style="128"/>
    <col min="15357" max="15357" width="9.83203125" style="128" bestFit="1" customWidth="1"/>
    <col min="15358" max="15358" width="8.33203125" style="128" bestFit="1" customWidth="1"/>
    <col min="15359" max="15359" width="18.58203125" style="128" customWidth="1"/>
    <col min="15360" max="15360" width="17.08203125" style="128" customWidth="1"/>
    <col min="15361" max="15361" width="14.58203125" style="128" bestFit="1" customWidth="1"/>
    <col min="15362" max="15362" width="8.58203125" style="128"/>
    <col min="15363" max="15363" width="3.83203125" style="128" customWidth="1"/>
    <col min="15364" max="15364" width="14.5" style="128" bestFit="1" customWidth="1"/>
    <col min="15365" max="15365" width="7.08203125" style="128" bestFit="1" customWidth="1"/>
    <col min="15366" max="15366" width="8.58203125" style="128" bestFit="1" customWidth="1"/>
    <col min="15367" max="15367" width="5" style="128" bestFit="1" customWidth="1"/>
    <col min="15368" max="15368" width="13.5" style="128" bestFit="1" customWidth="1"/>
    <col min="15369" max="15369" width="12" style="128" customWidth="1"/>
    <col min="15370" max="15612" width="8.58203125" style="128"/>
    <col min="15613" max="15613" width="9.83203125" style="128" bestFit="1" customWidth="1"/>
    <col min="15614" max="15614" width="8.33203125" style="128" bestFit="1" customWidth="1"/>
    <col min="15615" max="15615" width="18.58203125" style="128" customWidth="1"/>
    <col min="15616" max="15616" width="17.08203125" style="128" customWidth="1"/>
    <col min="15617" max="15617" width="14.58203125" style="128" bestFit="1" customWidth="1"/>
    <col min="15618" max="15618" width="8.58203125" style="128"/>
    <col min="15619" max="15619" width="3.83203125" style="128" customWidth="1"/>
    <col min="15620" max="15620" width="14.5" style="128" bestFit="1" customWidth="1"/>
    <col min="15621" max="15621" width="7.08203125" style="128" bestFit="1" customWidth="1"/>
    <col min="15622" max="15622" width="8.58203125" style="128" bestFit="1" customWidth="1"/>
    <col min="15623" max="15623" width="5" style="128" bestFit="1" customWidth="1"/>
    <col min="15624" max="15624" width="13.5" style="128" bestFit="1" customWidth="1"/>
    <col min="15625" max="15625" width="12" style="128" customWidth="1"/>
    <col min="15626" max="15868" width="8.58203125" style="128"/>
    <col min="15869" max="15869" width="9.83203125" style="128" bestFit="1" customWidth="1"/>
    <col min="15870" max="15870" width="8.33203125" style="128" bestFit="1" customWidth="1"/>
    <col min="15871" max="15871" width="18.58203125" style="128" customWidth="1"/>
    <col min="15872" max="15872" width="17.08203125" style="128" customWidth="1"/>
    <col min="15873" max="15873" width="14.58203125" style="128" bestFit="1" customWidth="1"/>
    <col min="15874" max="15874" width="8.58203125" style="128"/>
    <col min="15875" max="15875" width="3.83203125" style="128" customWidth="1"/>
    <col min="15876" max="15876" width="14.5" style="128" bestFit="1" customWidth="1"/>
    <col min="15877" max="15877" width="7.08203125" style="128" bestFit="1" customWidth="1"/>
    <col min="15878" max="15878" width="8.58203125" style="128" bestFit="1" customWidth="1"/>
    <col min="15879" max="15879" width="5" style="128" bestFit="1" customWidth="1"/>
    <col min="15880" max="15880" width="13.5" style="128" bestFit="1" customWidth="1"/>
    <col min="15881" max="15881" width="12" style="128" customWidth="1"/>
    <col min="15882" max="16124" width="8.58203125" style="128"/>
    <col min="16125" max="16125" width="9.83203125" style="128" bestFit="1" customWidth="1"/>
    <col min="16126" max="16126" width="8.33203125" style="128" bestFit="1" customWidth="1"/>
    <col min="16127" max="16127" width="18.58203125" style="128" customWidth="1"/>
    <col min="16128" max="16128" width="17.08203125" style="128" customWidth="1"/>
    <col min="16129" max="16129" width="14.58203125" style="128" bestFit="1" customWidth="1"/>
    <col min="16130" max="16130" width="8.58203125" style="128"/>
    <col min="16131" max="16131" width="3.83203125" style="128" customWidth="1"/>
    <col min="16132" max="16132" width="14.5" style="128" bestFit="1" customWidth="1"/>
    <col min="16133" max="16133" width="7.08203125" style="128" bestFit="1" customWidth="1"/>
    <col min="16134" max="16134" width="8.58203125" style="128" bestFit="1" customWidth="1"/>
    <col min="16135" max="16135" width="5" style="128" bestFit="1" customWidth="1"/>
    <col min="16136" max="16136" width="13.5" style="128" bestFit="1" customWidth="1"/>
    <col min="16137" max="16137" width="12" style="128" customWidth="1"/>
    <col min="16138" max="16378" width="8.58203125" style="128"/>
    <col min="16379" max="16384" width="9" style="128" customWidth="1"/>
  </cols>
  <sheetData>
    <row r="9" spans="1:3">
      <c r="A9" s="442" t="s">
        <v>245</v>
      </c>
      <c r="B9" s="442"/>
      <c r="C9" s="442"/>
    </row>
    <row r="11" spans="1:3">
      <c r="A11" s="130" t="s">
        <v>11</v>
      </c>
      <c r="B11" s="169" t="s">
        <v>83</v>
      </c>
      <c r="C11" s="131"/>
    </row>
    <row r="12" spans="1:3">
      <c r="A12" s="133">
        <v>1</v>
      </c>
      <c r="B12" s="167" t="s">
        <v>4</v>
      </c>
      <c r="C12" s="90" t="str">
        <f>'TSSS '!G15&amp;" - "&amp;'TSSS '!G16</f>
        <v>Liên hệ trực tiếp - SĐT: 0971463319</v>
      </c>
    </row>
    <row r="13" spans="1:3">
      <c r="A13" s="133">
        <f>A12+1</f>
        <v>2</v>
      </c>
      <c r="B13" s="167" t="s">
        <v>90</v>
      </c>
      <c r="C13" s="212">
        <f>'TSSS '!G42</f>
        <v>2341845000</v>
      </c>
    </row>
    <row r="14" spans="1:3">
      <c r="A14" s="133">
        <f t="shared" ref="A14:A31" si="0">A13+1</f>
        <v>3</v>
      </c>
      <c r="B14" s="167" t="s">
        <v>241</v>
      </c>
      <c r="C14" s="212">
        <f>'TSSS '!G43</f>
        <v>1990568250</v>
      </c>
    </row>
    <row r="15" spans="1:3">
      <c r="A15" s="133">
        <f t="shared" si="0"/>
        <v>4</v>
      </c>
      <c r="B15" s="167" t="s">
        <v>53</v>
      </c>
      <c r="C15" s="90" t="str">
        <f>'TSSS '!G17</f>
        <v xml:space="preserve">Đang giao dịch </v>
      </c>
    </row>
    <row r="16" spans="1:3">
      <c r="A16" s="133">
        <f t="shared" si="0"/>
        <v>5</v>
      </c>
      <c r="B16" s="167" t="s">
        <v>178</v>
      </c>
      <c r="C16" s="90" t="str">
        <f>'TSSS '!G18</f>
        <v>Tháng 12/2025</v>
      </c>
    </row>
    <row r="17" spans="1:5">
      <c r="A17" s="133">
        <f t="shared" si="0"/>
        <v>6</v>
      </c>
      <c r="B17" s="167" t="s">
        <v>54</v>
      </c>
      <c r="C17" s="90" t="str">
        <f>'TSSS '!G19</f>
        <v>Giao dịch bình thường trên thị trường</v>
      </c>
    </row>
    <row r="18" spans="1:5">
      <c r="A18" s="133">
        <f t="shared" si="0"/>
        <v>7</v>
      </c>
      <c r="B18" s="167" t="s">
        <v>6</v>
      </c>
      <c r="C18" s="90" t="str">
        <f>'TSSS '!G20</f>
        <v>Có Giấy chứng nhận Quyền sử dụng đất</v>
      </c>
    </row>
    <row r="19" spans="1:5">
      <c r="A19" s="133">
        <f t="shared" si="0"/>
        <v>8</v>
      </c>
      <c r="B19" s="167" t="s">
        <v>80</v>
      </c>
      <c r="C19" s="90" t="str">
        <f>'TSSS '!G21</f>
        <v>Đất ở tại đô thị</v>
      </c>
    </row>
    <row r="20" spans="1:5">
      <c r="A20" s="133">
        <f t="shared" si="0"/>
        <v>9</v>
      </c>
      <c r="B20" s="148" t="s">
        <v>217</v>
      </c>
      <c r="C20" s="90" t="str">
        <f>'TSSS '!G22</f>
        <v>Lâu dài</v>
      </c>
    </row>
    <row r="21" spans="1:5">
      <c r="A21" s="133">
        <f t="shared" si="0"/>
        <v>10</v>
      </c>
      <c r="B21" s="199" t="s">
        <v>229</v>
      </c>
      <c r="C21" s="90" t="str">
        <f>'TSSS '!G23</f>
        <v>Vị trí 1 đường DT702, giao thông thuận tiện</v>
      </c>
    </row>
    <row r="22" spans="1:5">
      <c r="A22" s="133">
        <f t="shared" si="0"/>
        <v>11</v>
      </c>
      <c r="B22" s="167" t="s">
        <v>81</v>
      </c>
      <c r="C22" s="90" t="str">
        <f>'TSSS '!G24</f>
        <v>20m</v>
      </c>
    </row>
    <row r="23" spans="1:5">
      <c r="A23" s="133">
        <f t="shared" si="0"/>
        <v>12</v>
      </c>
      <c r="B23" s="167" t="s">
        <v>235</v>
      </c>
      <c r="C23" s="90">
        <f>'TSSS '!G25</f>
        <v>182.6</v>
      </c>
    </row>
    <row r="24" spans="1:5">
      <c r="A24" s="133">
        <f t="shared" si="0"/>
        <v>13</v>
      </c>
      <c r="B24" s="167" t="s">
        <v>85</v>
      </c>
      <c r="C24" s="90">
        <f>'TSSS '!G28</f>
        <v>7</v>
      </c>
    </row>
    <row r="25" spans="1:5">
      <c r="A25" s="133">
        <f t="shared" si="0"/>
        <v>14</v>
      </c>
      <c r="B25" s="167" t="s">
        <v>219</v>
      </c>
      <c r="C25" s="90" t="str">
        <f>'TSSS '!G30</f>
        <v>1 mặt tiền</v>
      </c>
    </row>
    <row r="26" spans="1:5">
      <c r="A26" s="133">
        <f t="shared" si="0"/>
        <v>15</v>
      </c>
      <c r="B26" s="167" t="s">
        <v>56</v>
      </c>
      <c r="C26" s="90" t="str">
        <f>'TSSS '!G31</f>
        <v>Vuông vắn</v>
      </c>
      <c r="D26" s="135"/>
    </row>
    <row r="27" spans="1:5">
      <c r="A27" s="133">
        <f t="shared" si="0"/>
        <v>16</v>
      </c>
      <c r="B27" s="199" t="s">
        <v>230</v>
      </c>
      <c r="C27" s="90" t="str">
        <f>'TSSS '!G32</f>
        <v>Tốt</v>
      </c>
      <c r="D27" s="135"/>
    </row>
    <row r="28" spans="1:5" ht="28">
      <c r="A28" s="133">
        <f t="shared" si="0"/>
        <v>17</v>
      </c>
      <c r="B28" s="167" t="s">
        <v>216</v>
      </c>
      <c r="C28" s="140" t="str">
        <f>'TSSS '!G33</f>
        <v>Không có bất lợi thương mại</v>
      </c>
    </row>
    <row r="29" spans="1:5">
      <c r="A29" s="133">
        <f t="shared" si="0"/>
        <v>18</v>
      </c>
      <c r="B29" s="167" t="s">
        <v>221</v>
      </c>
      <c r="C29" s="90" t="str">
        <f>'TSSS '!G34</f>
        <v xml:space="preserve">Hệ thống cấp điện, cấp thoát nước đầy đủ. </v>
      </c>
    </row>
    <row r="30" spans="1:5">
      <c r="A30" s="133">
        <f t="shared" si="0"/>
        <v>19</v>
      </c>
      <c r="B30" s="167" t="s">
        <v>218</v>
      </c>
      <c r="C30" s="90" t="str">
        <f>'TSSS '!G35</f>
        <v>Đường nhựa</v>
      </c>
      <c r="E30" s="196"/>
    </row>
    <row r="31" spans="1:5">
      <c r="A31" s="133">
        <f t="shared" si="0"/>
        <v>20</v>
      </c>
      <c r="B31" s="167" t="s">
        <v>86</v>
      </c>
      <c r="C31" s="90" t="str">
        <f>'TSSS '!G36</f>
        <v>Đất trống</v>
      </c>
    </row>
    <row r="32" spans="1:5">
      <c r="A32" s="139" t="s">
        <v>13</v>
      </c>
      <c r="B32" s="166" t="s">
        <v>243</v>
      </c>
      <c r="C32" s="134"/>
    </row>
    <row r="33" spans="1:8" ht="258" customHeight="1">
      <c r="A33" s="132"/>
      <c r="B33" s="462" t="s">
        <v>286</v>
      </c>
      <c r="C33" s="463"/>
    </row>
    <row r="34" spans="1:8">
      <c r="A34" s="172"/>
      <c r="B34" s="197"/>
      <c r="C34" s="198"/>
    </row>
    <row r="35" spans="1:8" ht="15.5" hidden="1">
      <c r="A35" s="172"/>
      <c r="B35" s="197"/>
      <c r="C35" s="200" t="str">
        <f>KHTĐG!D34</f>
        <v>Hà Nội, ngày 07 tháng 11 năm 2024</v>
      </c>
    </row>
    <row r="36" spans="1:8" ht="15">
      <c r="A36" s="172"/>
      <c r="B36" s="197"/>
      <c r="C36" s="22" t="s">
        <v>234</v>
      </c>
    </row>
    <row r="37" spans="1:8" ht="15.5">
      <c r="A37" s="172"/>
      <c r="B37" s="197"/>
      <c r="C37" s="21"/>
    </row>
    <row r="38" spans="1:8" ht="15.5">
      <c r="A38" s="172"/>
      <c r="B38" s="197"/>
      <c r="C38" s="21"/>
    </row>
    <row r="39" spans="1:8" ht="15.5">
      <c r="A39" s="172"/>
      <c r="B39" s="197"/>
      <c r="C39" s="21"/>
    </row>
    <row r="40" spans="1:8" s="62" customFormat="1" ht="15.5">
      <c r="A40" s="61"/>
      <c r="C40" s="21"/>
      <c r="D40" s="128"/>
      <c r="E40" s="63"/>
      <c r="F40" s="63"/>
      <c r="G40" s="63"/>
      <c r="H40" s="63"/>
    </row>
    <row r="41" spans="1:8" ht="15">
      <c r="C41" s="22" t="str">
        <f>TSSS2!C40</f>
        <v>Đinh Thị Lan Hương</v>
      </c>
    </row>
    <row r="56" spans="1:11" s="129" customFormat="1">
      <c r="A56" s="128"/>
      <c r="B56" s="181"/>
      <c r="D56" s="128"/>
      <c r="E56" s="128"/>
      <c r="F56" s="128"/>
      <c r="G56" s="128"/>
      <c r="H56" s="128"/>
      <c r="I56" s="128"/>
      <c r="J56" s="128"/>
      <c r="K56" s="128"/>
    </row>
  </sheetData>
  <mergeCells count="2">
    <mergeCell ref="A9:C9"/>
    <mergeCell ref="B33:C33"/>
  </mergeCells>
  <pageMargins left="0.7" right="0.7" top="0.38" bottom="0.27" header="0.3" footer="0.3"/>
  <pageSetup paperSize="9" scale="92"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9"/>
  <sheetViews>
    <sheetView topLeftCell="A7" zoomScaleNormal="100" workbookViewId="0">
      <selection activeCell="C20" sqref="C20"/>
    </sheetView>
  </sheetViews>
  <sheetFormatPr defaultColWidth="8" defaultRowHeight="15.5"/>
  <cols>
    <col min="1" max="1" width="3.5" style="97" bestFit="1" customWidth="1"/>
    <col min="2" max="2" width="43.83203125" style="97" customWidth="1"/>
    <col min="3" max="5" width="17.5" style="97" customWidth="1"/>
    <col min="6" max="16384" width="8" style="97"/>
  </cols>
  <sheetData>
    <row r="1" spans="1:5" hidden="1">
      <c r="B1" s="98" t="s">
        <v>177</v>
      </c>
    </row>
    <row r="2" spans="1:5" hidden="1">
      <c r="B2" s="94" t="s">
        <v>176</v>
      </c>
      <c r="C2" s="99">
        <v>2023</v>
      </c>
    </row>
    <row r="3" spans="1:5" hidden="1">
      <c r="B3" s="94" t="s">
        <v>175</v>
      </c>
      <c r="C3" s="99">
        <v>2016</v>
      </c>
    </row>
    <row r="4" spans="1:5" ht="31" hidden="1">
      <c r="B4" s="100" t="s">
        <v>174</v>
      </c>
      <c r="C4" s="99" t="s">
        <v>173</v>
      </c>
    </row>
    <row r="5" spans="1:5" hidden="1">
      <c r="B5" s="100" t="s">
        <v>172</v>
      </c>
      <c r="C5" s="99">
        <v>40</v>
      </c>
    </row>
    <row r="6" spans="1:5" hidden="1">
      <c r="B6" s="96" t="str">
        <f>"+ Tỷ lệ chất lượng còn lại = 1- ("&amp;C2&amp;" - "&amp;C3&amp;")/"&amp;C5</f>
        <v>+ Tỷ lệ chất lượng còn lại = 1- (2023 - 2016)/40</v>
      </c>
      <c r="C6" s="101">
        <f>1-(C2-C3)/C5</f>
        <v>0.82499999999999996</v>
      </c>
    </row>
    <row r="9" spans="1:5">
      <c r="A9" s="466" t="s">
        <v>171</v>
      </c>
      <c r="B9" s="466"/>
      <c r="C9" s="466"/>
      <c r="D9" s="466"/>
      <c r="E9" s="466"/>
    </row>
    <row r="10" spans="1:5" ht="45">
      <c r="A10" s="93" t="s">
        <v>100</v>
      </c>
      <c r="B10" s="93" t="s">
        <v>170</v>
      </c>
      <c r="C10" s="93" t="s">
        <v>101</v>
      </c>
      <c r="D10" s="93" t="s">
        <v>102</v>
      </c>
      <c r="E10" s="93" t="s">
        <v>103</v>
      </c>
    </row>
    <row r="11" spans="1:5">
      <c r="A11" s="102" t="s">
        <v>104</v>
      </c>
      <c r="B11" s="102" t="s">
        <v>105</v>
      </c>
      <c r="C11" s="102" t="s">
        <v>106</v>
      </c>
      <c r="D11" s="102" t="s">
        <v>107</v>
      </c>
      <c r="E11" s="102" t="s">
        <v>108</v>
      </c>
    </row>
    <row r="12" spans="1:5">
      <c r="A12" s="103">
        <v>1</v>
      </c>
      <c r="B12" s="104" t="s">
        <v>45</v>
      </c>
      <c r="C12" s="60">
        <v>0.08</v>
      </c>
      <c r="D12" s="105">
        <v>0.95</v>
      </c>
      <c r="E12" s="105">
        <f t="shared" ref="E12:E17" si="0">+C12*D12/$C$18</f>
        <v>0.12063492063492064</v>
      </c>
    </row>
    <row r="13" spans="1:5">
      <c r="A13" s="103">
        <v>2</v>
      </c>
      <c r="B13" s="104" t="s">
        <v>109</v>
      </c>
      <c r="C13" s="60">
        <v>0.1</v>
      </c>
      <c r="D13" s="105">
        <v>0.95</v>
      </c>
      <c r="E13" s="105">
        <f t="shared" si="0"/>
        <v>0.15079365079365079</v>
      </c>
    </row>
    <row r="14" spans="1:5">
      <c r="A14" s="103">
        <v>3</v>
      </c>
      <c r="B14" s="104" t="s">
        <v>46</v>
      </c>
      <c r="C14" s="60">
        <v>0.12</v>
      </c>
      <c r="D14" s="105">
        <v>0.95</v>
      </c>
      <c r="E14" s="105">
        <f t="shared" si="0"/>
        <v>0.18095238095238095</v>
      </c>
    </row>
    <row r="15" spans="1:5">
      <c r="A15" s="103">
        <v>4</v>
      </c>
      <c r="B15" s="104" t="s">
        <v>47</v>
      </c>
      <c r="C15" s="60">
        <v>0.16</v>
      </c>
      <c r="D15" s="105">
        <v>0.95</v>
      </c>
      <c r="E15" s="105">
        <f t="shared" si="0"/>
        <v>0.24126984126984127</v>
      </c>
    </row>
    <row r="16" spans="1:5">
      <c r="A16" s="103">
        <v>5</v>
      </c>
      <c r="B16" s="104" t="s">
        <v>48</v>
      </c>
      <c r="C16" s="60">
        <v>0.12</v>
      </c>
      <c r="D16" s="105">
        <v>0.95</v>
      </c>
      <c r="E16" s="105">
        <f t="shared" si="0"/>
        <v>0.18095238095238095</v>
      </c>
    </row>
    <row r="17" spans="1:5">
      <c r="A17" s="103">
        <v>6</v>
      </c>
      <c r="B17" s="104" t="s">
        <v>49</v>
      </c>
      <c r="C17" s="60">
        <v>0.05</v>
      </c>
      <c r="D17" s="105">
        <v>0.95</v>
      </c>
      <c r="E17" s="105">
        <f t="shared" si="0"/>
        <v>7.5396825396825393E-2</v>
      </c>
    </row>
    <row r="18" spans="1:5">
      <c r="A18" s="93"/>
      <c r="B18" s="93" t="s">
        <v>110</v>
      </c>
      <c r="C18" s="105">
        <f>SUM(C12:C17)</f>
        <v>0.63</v>
      </c>
      <c r="D18" s="106"/>
      <c r="E18" s="106"/>
    </row>
    <row r="19" spans="1:5">
      <c r="A19" s="107"/>
      <c r="B19" s="108" t="s">
        <v>111</v>
      </c>
      <c r="C19" s="106"/>
      <c r="D19" s="106"/>
      <c r="E19" s="109">
        <f>SUM(E12:E17)</f>
        <v>0.95</v>
      </c>
    </row>
    <row r="20" spans="1:5">
      <c r="B20" s="92"/>
      <c r="C20" s="110"/>
    </row>
    <row r="21" spans="1:5" hidden="1">
      <c r="B21" s="92"/>
      <c r="C21" s="111"/>
    </row>
    <row r="22" spans="1:5" ht="46.5" hidden="1">
      <c r="B22" s="92" t="str">
        <f>"Tổ thẩm định xác định Tỷ lệ chất lượng còn lại của tài sản là giá trị trung bình của 2 phương pháp = ("&amp;TEXT(C6,"0%")&amp;" + "&amp;TEXT(E19,"0%")&amp;")/2 = "&amp;TEXT(C22,"0%")</f>
        <v>Tổ thẩm định xác định Tỷ lệ chất lượng còn lại của tài sản là giá trị trung bình của 2 phương pháp = (83% + 95%)/2 = 89%</v>
      </c>
      <c r="C22" s="112">
        <f>+ROUND(AVERAGE(C6,E19),2)</f>
        <v>0.89</v>
      </c>
    </row>
    <row r="23" spans="1:5" hidden="1">
      <c r="B23" s="92"/>
      <c r="C23" s="113"/>
    </row>
    <row r="24" spans="1:5" hidden="1">
      <c r="A24" s="466" t="s">
        <v>191</v>
      </c>
      <c r="B24" s="466"/>
      <c r="C24" s="466"/>
    </row>
    <row r="25" spans="1:5" hidden="1">
      <c r="B25" s="92" t="s">
        <v>190</v>
      </c>
      <c r="C25" s="68">
        <v>11191000</v>
      </c>
    </row>
    <row r="26" spans="1:5" hidden="1">
      <c r="B26" s="92" t="s">
        <v>181</v>
      </c>
      <c r="C26" s="69">
        <v>0.98699999999999999</v>
      </c>
    </row>
    <row r="27" spans="1:5" hidden="1">
      <c r="B27" s="92" t="s">
        <v>182</v>
      </c>
      <c r="C27" s="70">
        <f>C25*C26*1.1</f>
        <v>12150068.700000001</v>
      </c>
    </row>
    <row r="28" spans="1:5" hidden="1">
      <c r="B28" s="92"/>
      <c r="C28" s="70"/>
    </row>
    <row r="29" spans="1:5" hidden="1">
      <c r="A29" s="466" t="s">
        <v>192</v>
      </c>
      <c r="B29" s="466"/>
      <c r="C29" s="466"/>
    </row>
    <row r="30" spans="1:5" hidden="1">
      <c r="B30" s="92" t="s">
        <v>190</v>
      </c>
      <c r="C30" s="118">
        <v>7065000</v>
      </c>
    </row>
    <row r="31" spans="1:5" hidden="1">
      <c r="B31" s="92" t="s">
        <v>181</v>
      </c>
      <c r="C31" s="119">
        <v>0.94199999999999995</v>
      </c>
    </row>
    <row r="32" spans="1:5" hidden="1">
      <c r="B32" s="92" t="s">
        <v>182</v>
      </c>
      <c r="C32" s="120">
        <f>C30*C31</f>
        <v>6655230</v>
      </c>
    </row>
    <row r="33" spans="1:4" hidden="1">
      <c r="B33" s="92"/>
    </row>
    <row r="34" spans="1:4" hidden="1">
      <c r="A34" s="114" t="s">
        <v>100</v>
      </c>
      <c r="B34" s="93" t="s">
        <v>169</v>
      </c>
      <c r="C34" s="114" t="s">
        <v>168</v>
      </c>
    </row>
    <row r="35" spans="1:4" ht="27" hidden="1" customHeight="1">
      <c r="A35" s="114" t="s">
        <v>193</v>
      </c>
      <c r="B35" s="464" t="s">
        <v>194</v>
      </c>
      <c r="C35" s="465"/>
    </row>
    <row r="36" spans="1:4" hidden="1">
      <c r="A36" s="114">
        <v>1</v>
      </c>
      <c r="B36" s="96" t="s">
        <v>167</v>
      </c>
      <c r="C36" s="117">
        <f>C40*C37</f>
        <v>16696138404.792002</v>
      </c>
      <c r="D36" s="116"/>
    </row>
    <row r="37" spans="1:4" hidden="1">
      <c r="A37" s="103" t="s">
        <v>61</v>
      </c>
      <c r="B37" s="94" t="s">
        <v>166</v>
      </c>
      <c r="C37" s="124">
        <v>1544</v>
      </c>
    </row>
    <row r="38" spans="1:4" hidden="1">
      <c r="A38" s="103" t="s">
        <v>61</v>
      </c>
      <c r="B38" s="94" t="s">
        <v>118</v>
      </c>
      <c r="C38" s="125">
        <f>C27</f>
        <v>12150068.700000001</v>
      </c>
      <c r="D38" s="68"/>
    </row>
    <row r="39" spans="1:4" hidden="1">
      <c r="A39" s="114">
        <v>2</v>
      </c>
      <c r="B39" s="95" t="s">
        <v>165</v>
      </c>
      <c r="C39" s="123">
        <f>C22</f>
        <v>0.89</v>
      </c>
      <c r="D39" s="113"/>
    </row>
    <row r="40" spans="1:4" ht="30" hidden="1">
      <c r="A40" s="114">
        <v>3</v>
      </c>
      <c r="B40" s="95" t="s">
        <v>164</v>
      </c>
      <c r="C40" s="121">
        <f>C38*C39</f>
        <v>10813561.143000001</v>
      </c>
    </row>
    <row r="41" spans="1:4" ht="22.5" hidden="1" customHeight="1">
      <c r="A41" s="114" t="s">
        <v>189</v>
      </c>
      <c r="B41" s="464" t="s">
        <v>195</v>
      </c>
      <c r="C41" s="465"/>
    </row>
    <row r="42" spans="1:4" hidden="1">
      <c r="A42" s="114">
        <v>1</v>
      </c>
      <c r="B42" s="96" t="s">
        <v>167</v>
      </c>
      <c r="C42" s="115">
        <f>C43*C46</f>
        <v>8102875629.6000004</v>
      </c>
    </row>
    <row r="43" spans="1:4" ht="27.75" hidden="1" customHeight="1">
      <c r="A43" s="103" t="s">
        <v>61</v>
      </c>
      <c r="B43" s="94" t="s">
        <v>166</v>
      </c>
      <c r="C43" s="124">
        <v>1368</v>
      </c>
    </row>
    <row r="44" spans="1:4" hidden="1">
      <c r="A44" s="103" t="s">
        <v>61</v>
      </c>
      <c r="B44" s="94" t="s">
        <v>118</v>
      </c>
      <c r="C44" s="122">
        <f>C32</f>
        <v>6655230</v>
      </c>
    </row>
    <row r="45" spans="1:4" hidden="1">
      <c r="A45" s="114">
        <v>2</v>
      </c>
      <c r="B45" s="95" t="s">
        <v>165</v>
      </c>
      <c r="C45" s="123">
        <f>C22</f>
        <v>0.89</v>
      </c>
      <c r="D45" s="59"/>
    </row>
    <row r="46" spans="1:4" ht="30" hidden="1">
      <c r="A46" s="114">
        <v>3</v>
      </c>
      <c r="B46" s="95" t="s">
        <v>164</v>
      </c>
      <c r="C46" s="121">
        <f>C44*C45</f>
        <v>5923154.7000000002</v>
      </c>
    </row>
    <row r="47" spans="1:4" hidden="1"/>
    <row r="48" spans="1:4" hidden="1"/>
    <row r="49" hidden="1"/>
  </sheetData>
  <mergeCells count="5">
    <mergeCell ref="B41:C41"/>
    <mergeCell ref="A9:E9"/>
    <mergeCell ref="A24:C24"/>
    <mergeCell ref="A29:C29"/>
    <mergeCell ref="B35:C35"/>
  </mergeCells>
  <pageMargins left="0.7" right="0.7" top="0.75" bottom="0.75" header="0.3" footer="0.3"/>
  <pageSetup paperSize="9" scale="18" fitToHeight="0" orientation="portrait" r:id="rId1"/>
  <drawing r:id="rId2"/>
  <legacyDrawing r:id="rId3"/>
  <oleObjects>
    <mc:AlternateContent xmlns:mc="http://schemas.openxmlformats.org/markup-compatibility/2006">
      <mc:Choice Requires="x14">
        <oleObject progId="Worksheet" shapeId="26625" r:id="rId4">
          <objectPr defaultSize="0" autoPict="0" r:id="rId5">
            <anchor moveWithCells="1">
              <from>
                <xdr:col>5</xdr:col>
                <xdr:colOff>374650</xdr:colOff>
                <xdr:row>6</xdr:row>
                <xdr:rowOff>31750</xdr:rowOff>
              </from>
              <to>
                <xdr:col>48</xdr:col>
                <xdr:colOff>127000</xdr:colOff>
                <xdr:row>94</xdr:row>
                <xdr:rowOff>88900</xdr:rowOff>
              </to>
            </anchor>
          </objectPr>
        </oleObject>
      </mc:Choice>
      <mc:Fallback>
        <oleObject progId="Worksheet" shapeId="266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7"/>
  <sheetViews>
    <sheetView zoomScaleNormal="100" workbookViewId="0">
      <pane ySplit="1" topLeftCell="A2" activePane="bottomLeft" state="frozen"/>
      <selection activeCell="B44" sqref="B44:E44"/>
      <selection pane="bottomLeft" activeCell="B44" sqref="B44:E44"/>
    </sheetView>
  </sheetViews>
  <sheetFormatPr defaultColWidth="9" defaultRowHeight="15.5"/>
  <cols>
    <col min="1" max="1" width="9" style="64"/>
    <col min="2" max="2" width="22.83203125" style="64" customWidth="1"/>
    <col min="3" max="3" width="27.58203125" style="65" bestFit="1" customWidth="1"/>
    <col min="4" max="4" width="30.83203125" style="72" customWidth="1"/>
    <col min="5" max="5" width="9" style="73" customWidth="1"/>
    <col min="6" max="6" width="9.33203125" style="74" customWidth="1"/>
    <col min="7" max="7" width="9" style="74"/>
    <col min="8" max="16384" width="9" style="64"/>
  </cols>
  <sheetData>
    <row r="1" spans="2:9" ht="16" thickBot="1">
      <c r="B1" s="64" t="s">
        <v>150</v>
      </c>
      <c r="C1" s="71" t="str">
        <f>LEFT(C2,18)&amp;RIGHT(C2,4)</f>
        <v>275/2024/0627/VFI-39.B</v>
      </c>
      <c r="D1" s="75"/>
      <c r="E1" s="202" t="str">
        <f>LEFT(C1,18)</f>
        <v>275/2024/0627/VFI-</v>
      </c>
      <c r="F1" s="194"/>
      <c r="G1" s="194" t="str">
        <f>RIGHT(C1,5)</f>
        <v>-39.B</v>
      </c>
      <c r="H1" s="195"/>
      <c r="I1" s="195"/>
    </row>
    <row r="2" spans="2:9" ht="16" thickBot="1">
      <c r="B2" t="s">
        <v>179</v>
      </c>
      <c r="C2" s="201" t="s">
        <v>276</v>
      </c>
      <c r="E2" s="202" t="str">
        <f>E1</f>
        <v>275/2024/0627/VFI-</v>
      </c>
      <c r="F2" s="194"/>
      <c r="G2" s="194" t="str">
        <f>G1</f>
        <v>-39.B</v>
      </c>
      <c r="H2" s="195"/>
      <c r="I2" s="195"/>
    </row>
    <row r="3" spans="2:9" ht="16" thickBot="1">
      <c r="B3" t="s">
        <v>180</v>
      </c>
      <c r="C3" s="201" t="s">
        <v>277</v>
      </c>
      <c r="E3" s="193"/>
      <c r="F3" s="194"/>
      <c r="G3" s="194"/>
      <c r="H3" s="195"/>
      <c r="I3" s="195"/>
    </row>
    <row r="4" spans="2:9" ht="16" thickBot="1">
      <c r="B4" s="64" t="s">
        <v>183</v>
      </c>
      <c r="C4" s="201" t="s">
        <v>278</v>
      </c>
      <c r="E4" s="193"/>
      <c r="F4" s="194"/>
      <c r="G4" s="194"/>
      <c r="H4" s="195"/>
      <c r="I4" s="195"/>
    </row>
    <row r="5" spans="2:9">
      <c r="E5" s="193" t="s">
        <v>152</v>
      </c>
      <c r="F5" s="194" t="s">
        <v>153</v>
      </c>
      <c r="G5" s="194" t="s">
        <v>154</v>
      </c>
    </row>
    <row r="6" spans="2:9">
      <c r="B6" s="64" t="s">
        <v>157</v>
      </c>
      <c r="C6" s="66" t="str">
        <f>E6&amp;"/"&amp;F6&amp;"/"&amp;G6</f>
        <v>07/11/2024</v>
      </c>
      <c r="E6" s="203" t="s">
        <v>285</v>
      </c>
      <c r="F6" s="203" t="s">
        <v>256</v>
      </c>
      <c r="G6" s="248" t="s">
        <v>255</v>
      </c>
    </row>
    <row r="7" spans="2:9">
      <c r="B7" s="64" t="s">
        <v>151</v>
      </c>
      <c r="C7" s="66" t="str">
        <f>E7&amp;"/"&amp;F7&amp;"/"&amp;G7</f>
        <v>12/11/2024</v>
      </c>
      <c r="E7" s="203" t="s">
        <v>279</v>
      </c>
      <c r="F7" s="203" t="s">
        <v>256</v>
      </c>
      <c r="G7" s="248" t="s">
        <v>255</v>
      </c>
    </row>
  </sheetData>
  <phoneticPr fontId="15"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8:J23"/>
  <sheetViews>
    <sheetView showGridLines="0" zoomScale="70" zoomScaleNormal="70" workbookViewId="0">
      <selection activeCell="B44" sqref="B44:E44"/>
    </sheetView>
  </sheetViews>
  <sheetFormatPr defaultColWidth="9" defaultRowHeight="15.5"/>
  <cols>
    <col min="1" max="1" width="16.08203125" style="21" customWidth="1"/>
    <col min="2" max="2" width="1.83203125" style="21" customWidth="1"/>
    <col min="3" max="3" width="12.33203125" style="21" customWidth="1"/>
    <col min="4" max="4" width="11.5" style="21" customWidth="1"/>
    <col min="5" max="5" width="11" style="21" customWidth="1"/>
    <col min="6" max="6" width="14.83203125" style="21" customWidth="1"/>
    <col min="7" max="16384" width="9" style="21"/>
  </cols>
  <sheetData>
    <row r="8" spans="1:10" ht="20">
      <c r="A8" s="401" t="s">
        <v>120</v>
      </c>
      <c r="B8" s="401"/>
      <c r="C8" s="401"/>
      <c r="D8" s="401"/>
      <c r="E8" s="401"/>
      <c r="F8" s="401"/>
      <c r="G8" s="401"/>
      <c r="H8" s="401"/>
    </row>
    <row r="11" spans="1:10" ht="50.15" customHeight="1">
      <c r="A11" s="17" t="s">
        <v>121</v>
      </c>
      <c r="B11" s="21" t="s">
        <v>125</v>
      </c>
      <c r="C11" s="400" t="str">
        <f>'Thông tin TSTĐ'!F16&amp;" - "&amp;'Thông tin TSTĐ'!F5&amp;" - "&amp;'Thông tin TSTĐ'!F1</f>
        <v>Số 1011 Ngô Gia Tự, phường Đức Giang; Quận Long Biên, Hà Nội - Ông Nguyễn Văn Toan - CĐ 603946</v>
      </c>
      <c r="D11" s="400"/>
      <c r="E11" s="400"/>
      <c r="F11" s="400"/>
      <c r="G11" s="400"/>
      <c r="H11" s="400"/>
      <c r="J11" s="77"/>
    </row>
    <row r="12" spans="1:10" ht="91" customHeight="1">
      <c r="A12" s="67" t="s">
        <v>10</v>
      </c>
      <c r="B12" s="67" t="s">
        <v>125</v>
      </c>
      <c r="C12" s="402" t="str">
        <f>'Thông tin TSTĐ'!F12</f>
        <v>Giá trị quyền sử dụng đất tại thửa đất số: 16, tờ bản đồ số 42 có địa chỉ: Số 1011 Ngô Gia Tự, phường Đức Giang; Quận Long Biên, Hà Nội theo Giấy chứng nhận quyền sử dụng đất quyền sở hữu nhà ở và tài sản khác gắn liền với đất số: CĐ 603946, số vào sổ cấp GCN: CH04239 do Ủy ban nhân dân thành phố Nha Trang cấp ngày 15/07/2016; Chủ sử dụng đất là Ông Nguyễn Văn Toan</v>
      </c>
      <c r="D12" s="402"/>
      <c r="E12" s="402"/>
      <c r="F12" s="402"/>
      <c r="G12" s="402"/>
      <c r="H12" s="402"/>
      <c r="J12" s="26"/>
    </row>
    <row r="13" spans="1:10" ht="22.5" customHeight="1">
      <c r="A13" s="21" t="s">
        <v>122</v>
      </c>
      <c r="B13" s="21" t="s">
        <v>125</v>
      </c>
      <c r="C13" s="17" t="str">
        <f>TTCB!C1</f>
        <v>275/2024/0627/VFI-39.B</v>
      </c>
    </row>
    <row r="14" spans="1:10" ht="22.5" customHeight="1">
      <c r="A14" s="21" t="s">
        <v>123</v>
      </c>
      <c r="B14" s="21" t="s">
        <v>125</v>
      </c>
      <c r="C14" s="21" t="str">
        <f>"Ngày "&amp;TTCB!E6&amp;" tháng "&amp;TTCB!F6&amp;" năm "&amp;TTCB!G6</f>
        <v>Ngày 07 tháng 11 năm 2024</v>
      </c>
    </row>
    <row r="15" spans="1:10" ht="22.5" customHeight="1">
      <c r="A15" s="21" t="s">
        <v>124</v>
      </c>
      <c r="B15" s="21" t="s">
        <v>125</v>
      </c>
      <c r="C15" s="21" t="str">
        <f>"Ngày "&amp;TTCB!E7&amp;" tháng "&amp;TTCB!F7&amp;" năm "&amp;TTCB!G7</f>
        <v>Ngày 12 tháng 11 năm 2024</v>
      </c>
    </row>
    <row r="18" spans="1:5">
      <c r="A18" s="17" t="s">
        <v>126</v>
      </c>
    </row>
    <row r="19" spans="1:5">
      <c r="A19" s="21" t="s">
        <v>127</v>
      </c>
      <c r="E19" s="21" t="s">
        <v>155</v>
      </c>
    </row>
    <row r="20" spans="1:5">
      <c r="A20" s="21" t="s">
        <v>128</v>
      </c>
      <c r="E20" s="21" t="s">
        <v>156</v>
      </c>
    </row>
    <row r="21" spans="1:5">
      <c r="A21" s="21" t="s">
        <v>129</v>
      </c>
      <c r="E21" s="21" t="s">
        <v>155</v>
      </c>
    </row>
    <row r="22" spans="1:5">
      <c r="A22" s="21" t="s">
        <v>130</v>
      </c>
      <c r="E22" s="21" t="s">
        <v>155</v>
      </c>
    </row>
    <row r="23" spans="1:5">
      <c r="A23" s="21" t="s">
        <v>131</v>
      </c>
      <c r="E23" s="21" t="s">
        <v>155</v>
      </c>
    </row>
  </sheetData>
  <mergeCells count="3">
    <mergeCell ref="C11:H11"/>
    <mergeCell ref="A8:H8"/>
    <mergeCell ref="C12:H12"/>
  </mergeCells>
  <pageMargins left="0.7" right="0.42" top="0.75" bottom="0.75" header="0.3" footer="0.3"/>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7:E40"/>
  <sheetViews>
    <sheetView showGridLines="0" zoomScale="70" zoomScaleNormal="70" workbookViewId="0">
      <selection activeCell="B44" sqref="B44:E44"/>
    </sheetView>
  </sheetViews>
  <sheetFormatPr defaultColWidth="9" defaultRowHeight="15.5"/>
  <cols>
    <col min="1" max="1" width="9.08203125" style="21" customWidth="1"/>
    <col min="2" max="2" width="22.58203125" style="21" customWidth="1"/>
    <col min="3" max="3" width="23.5" style="21" customWidth="1"/>
    <col min="4" max="4" width="31.58203125" style="21" customWidth="1"/>
    <col min="5" max="5" width="9.83203125" style="21" bestFit="1" customWidth="1"/>
    <col min="6" max="16384" width="9" style="21"/>
  </cols>
  <sheetData>
    <row r="7" spans="1:5">
      <c r="A7" s="261" t="s">
        <v>132</v>
      </c>
      <c r="B7" s="21" t="str">
        <f>TTCB!E1&amp;"KH-TĐG"&amp;TTCB!G1</f>
        <v>275/2024/0627/VFI-KH-TĐG-39.B</v>
      </c>
    </row>
    <row r="9" spans="1:5" ht="20">
      <c r="A9" s="401" t="s">
        <v>133</v>
      </c>
      <c r="B9" s="401"/>
      <c r="C9" s="401"/>
      <c r="D9" s="401"/>
    </row>
    <row r="11" spans="1:5">
      <c r="A11" s="24" t="s">
        <v>134</v>
      </c>
      <c r="B11" s="405" t="str">
        <f>UPPER('Thông tin TSTĐ'!F7)</f>
        <v>ÔNG NGUYỄN VĂN TOAN</v>
      </c>
      <c r="C11" s="405"/>
      <c r="D11" s="405"/>
    </row>
    <row r="12" spans="1:5" ht="40.5" customHeight="1">
      <c r="A12" s="404" t="str">
        <f>"Thực hiện Hợp đồng thẩm định giá số "&amp;HSTĐG!C13&amp;"/HĐTĐ-VFI ký ngày "&amp;TTCB!C6&amp;" giữa "&amp;'Thông tin TSTĐ'!F7&amp;" với Công ty Cổ phần Thẩm định và Đầu tư Tài chính Hoa Sen"</f>
        <v>Thực hiện Hợp đồng thẩm định giá số 275/2024/0627/VFI-39.B/HĐTĐ-VFI ký ngày 07/11/2024 giữa Ông Nguyễn Văn Toan với Công ty Cổ phần Thẩm định và Đầu tư Tài chính Hoa Sen</v>
      </c>
      <c r="B12" s="404"/>
      <c r="C12" s="404"/>
      <c r="D12" s="404"/>
    </row>
    <row r="13" spans="1:5">
      <c r="A13" s="21" t="s">
        <v>135</v>
      </c>
    </row>
    <row r="15" spans="1:5">
      <c r="A15" s="17" t="s">
        <v>59</v>
      </c>
      <c r="B15" s="17" t="s">
        <v>136</v>
      </c>
    </row>
    <row r="16" spans="1:5">
      <c r="A16" s="18" t="s">
        <v>61</v>
      </c>
      <c r="B16" s="16" t="str">
        <f>"Thời gian khảo sát và thu thập hồ sơ cần thiết: "&amp;TTCB!C6</f>
        <v>Thời gian khảo sát và thu thập hồ sơ cần thiết: 07/11/2024</v>
      </c>
      <c r="E16" s="225" t="s">
        <v>248</v>
      </c>
    </row>
    <row r="17" spans="1:5">
      <c r="A17" s="18" t="s">
        <v>61</v>
      </c>
      <c r="B17" s="16" t="str">
        <f>"Thời gian dự kiến bắt đầu khảo sát: "&amp;E17</f>
        <v>Thời gian dự kiến bắt đầu khảo sát: 07/11/2024</v>
      </c>
      <c r="C17" s="223"/>
      <c r="D17" s="224"/>
      <c r="E17" s="226" t="s">
        <v>288</v>
      </c>
    </row>
    <row r="18" spans="1:5">
      <c r="A18" s="18" t="s">
        <v>61</v>
      </c>
      <c r="B18" s="16" t="str">
        <f>"Thời gian xác định giá trị tài sản: "&amp;E18</f>
        <v>Thời gian xác định giá trị tài sản: 11/7/2024</v>
      </c>
      <c r="C18" s="223"/>
      <c r="D18" s="224"/>
      <c r="E18" s="226" t="s">
        <v>289</v>
      </c>
    </row>
    <row r="19" spans="1:5">
      <c r="A19" s="18" t="s">
        <v>61</v>
      </c>
      <c r="B19" s="16" t="str">
        <f>"Thời gian lập báo cáo và soát xét kết quả: "&amp;E19</f>
        <v>Thời gian lập báo cáo và soát xét kết quả: 12/7/2024</v>
      </c>
      <c r="C19" s="223"/>
      <c r="D19" s="224"/>
      <c r="E19" s="226" t="s">
        <v>290</v>
      </c>
    </row>
    <row r="20" spans="1:5">
      <c r="A20" s="18" t="s">
        <v>61</v>
      </c>
      <c r="B20" s="16" t="str">
        <f>"Phát hành báo cáo chứng thư: "&amp;TTCB!C7</f>
        <v>Phát hành báo cáo chứng thư: 12/11/2024</v>
      </c>
    </row>
    <row r="22" spans="1:5">
      <c r="A22" s="19" t="s">
        <v>137</v>
      </c>
      <c r="B22" s="19" t="s">
        <v>138</v>
      </c>
    </row>
    <row r="23" spans="1:5">
      <c r="A23" s="19"/>
      <c r="B23" s="19"/>
    </row>
    <row r="24" spans="1:5" s="22" customFormat="1" ht="15">
      <c r="B24" s="20" t="s">
        <v>139</v>
      </c>
      <c r="C24" s="20" t="s">
        <v>140</v>
      </c>
      <c r="D24" s="20" t="s">
        <v>141</v>
      </c>
    </row>
    <row r="25" spans="1:5">
      <c r="B25" s="23" t="s">
        <v>233</v>
      </c>
      <c r="C25" s="23" t="s">
        <v>291</v>
      </c>
      <c r="D25" s="23" t="s">
        <v>143</v>
      </c>
    </row>
    <row r="26" spans="1:5">
      <c r="B26" s="23" t="s">
        <v>292</v>
      </c>
      <c r="C26" s="23" t="s">
        <v>115</v>
      </c>
      <c r="D26" s="87" t="s">
        <v>144</v>
      </c>
    </row>
    <row r="27" spans="1:5" hidden="1">
      <c r="B27" s="23"/>
      <c r="C27" s="23"/>
      <c r="D27" s="87"/>
    </row>
    <row r="28" spans="1:5">
      <c r="B28" s="23" t="s">
        <v>287</v>
      </c>
      <c r="C28" s="23" t="s">
        <v>142</v>
      </c>
      <c r="D28" s="23" t="s">
        <v>145</v>
      </c>
    </row>
    <row r="29" spans="1:5">
      <c r="B29" s="23" t="s">
        <v>293</v>
      </c>
      <c r="C29" s="23" t="s">
        <v>142</v>
      </c>
      <c r="D29" s="23" t="s">
        <v>146</v>
      </c>
    </row>
    <row r="31" spans="1:5" ht="39" customHeight="1">
      <c r="A31" s="403" t="s">
        <v>149</v>
      </c>
      <c r="B31" s="403"/>
      <c r="C31" s="403"/>
      <c r="D31" s="403"/>
    </row>
    <row r="33" spans="1:4">
      <c r="A33" s="21" t="s">
        <v>147</v>
      </c>
    </row>
    <row r="34" spans="1:4">
      <c r="D34" s="25" t="str">
        <f>"Hà Nội, ngày "&amp;TTCB!E6&amp;" tháng "&amp;TTCB!F6&amp;" năm "&amp;TTCB!G6</f>
        <v>Hà Nội, ngày 07 tháng 11 năm 2024</v>
      </c>
    </row>
    <row r="35" spans="1:4" s="22" customFormat="1" ht="15">
      <c r="B35" s="22" t="s">
        <v>148</v>
      </c>
      <c r="D35" s="22" t="str">
        <f>C25</f>
        <v>Tổng giám đốc</v>
      </c>
    </row>
    <row r="40" spans="1:4" s="22" customFormat="1" ht="15">
      <c r="B40" s="22" t="str">
        <f>B28</f>
        <v>Đinh Thị Lan Hương</v>
      </c>
      <c r="D40" s="22" t="str">
        <f>B25</f>
        <v>Nguyễn Trọng Điệp</v>
      </c>
    </row>
  </sheetData>
  <mergeCells count="4">
    <mergeCell ref="A31:D31"/>
    <mergeCell ref="A12:D12"/>
    <mergeCell ref="A9:D9"/>
    <mergeCell ref="B11:D11"/>
  </mergeCells>
  <pageMargins left="0.7" right="0.7" top="0.75" bottom="0.75" header="0.3" footer="0.3"/>
  <pageSetup paperSize="9" scale="9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45"/>
  <sheetViews>
    <sheetView topLeftCell="A35" zoomScaleNormal="100" workbookViewId="0">
      <selection activeCell="B44" sqref="B44:E44"/>
    </sheetView>
  </sheetViews>
  <sheetFormatPr defaultColWidth="8" defaultRowHeight="15.5"/>
  <cols>
    <col min="1" max="1" width="5.5" style="9" customWidth="1"/>
    <col min="2" max="2" width="19.5" style="7" customWidth="1"/>
    <col min="3" max="3" width="17.08203125" style="8" customWidth="1"/>
    <col min="4" max="4" width="20.5" style="8" customWidth="1"/>
    <col min="5" max="5" width="19.83203125" style="8" customWidth="1"/>
    <col min="6" max="6" width="84.58203125" style="1" customWidth="1"/>
    <col min="7" max="11" width="8" style="1"/>
    <col min="12" max="12" width="11.58203125" style="1" bestFit="1" customWidth="1"/>
    <col min="13" max="14" width="8" style="1"/>
    <col min="15" max="16" width="8" style="7" customWidth="1"/>
    <col min="17" max="16384" width="8" style="7"/>
  </cols>
  <sheetData>
    <row r="1" spans="1:10">
      <c r="F1" s="208" t="s">
        <v>269</v>
      </c>
    </row>
    <row r="2" spans="1:10">
      <c r="F2" s="208" t="s">
        <v>272</v>
      </c>
    </row>
    <row r="3" spans="1:10">
      <c r="F3" s="209" t="s">
        <v>271</v>
      </c>
    </row>
    <row r="4" spans="1:10" s="1" customFormat="1" ht="24" customHeight="1">
      <c r="A4" s="428"/>
      <c r="B4" s="428"/>
      <c r="C4" s="428"/>
      <c r="D4" s="428"/>
      <c r="E4" s="428"/>
      <c r="F4" s="228" t="s">
        <v>273</v>
      </c>
    </row>
    <row r="5" spans="1:10" s="1" customFormat="1" ht="24" customHeight="1">
      <c r="A5" s="12"/>
      <c r="B5" s="12"/>
      <c r="C5" s="12"/>
      <c r="D5" s="12"/>
      <c r="E5" s="12"/>
      <c r="F5" s="209" t="s">
        <v>270</v>
      </c>
    </row>
    <row r="6" spans="1:10" s="1" customFormat="1" ht="24" customHeight="1">
      <c r="A6" s="12"/>
      <c r="B6" s="12"/>
      <c r="C6" s="12"/>
      <c r="D6" s="12"/>
      <c r="E6" s="12"/>
      <c r="F6" s="209" t="s">
        <v>213</v>
      </c>
    </row>
    <row r="7" spans="1:10" s="1" customFormat="1" ht="24" customHeight="1">
      <c r="A7" s="428" t="s">
        <v>114</v>
      </c>
      <c r="B7" s="428"/>
      <c r="C7" s="428"/>
      <c r="D7" s="428"/>
      <c r="E7" s="428"/>
      <c r="F7" s="262" t="str">
        <f>F5</f>
        <v>Ông Nguyễn Văn Toan</v>
      </c>
    </row>
    <row r="8" spans="1:10" s="1" customFormat="1" ht="24" customHeight="1">
      <c r="A8" s="428" t="str">
        <f>"Thời điểm khảo sát: "&amp;KHTĐG!E18</f>
        <v>Thời điểm khảo sát: 11/7/2024</v>
      </c>
      <c r="B8" s="428"/>
      <c r="C8" s="428"/>
      <c r="D8" s="428"/>
      <c r="E8" s="428"/>
    </row>
    <row r="9" spans="1:10" s="1" customFormat="1" ht="24" customHeight="1">
      <c r="A9" s="12"/>
      <c r="B9" s="12"/>
      <c r="C9" s="12"/>
      <c r="D9" s="12"/>
      <c r="E9" s="12"/>
    </row>
    <row r="10" spans="1:10" s="1" customFormat="1" ht="24" hidden="1" customHeight="1">
      <c r="A10" s="12"/>
      <c r="B10" s="12"/>
      <c r="C10" s="12"/>
      <c r="D10" s="12"/>
      <c r="E10" s="12"/>
    </row>
    <row r="11" spans="1:10" s="2" customFormat="1" ht="15" hidden="1">
      <c r="A11" s="429" t="s">
        <v>57</v>
      </c>
      <c r="B11" s="429"/>
      <c r="C11" s="429"/>
      <c r="D11" s="429"/>
      <c r="E11" s="429"/>
    </row>
    <row r="12" spans="1:10" s="2" customFormat="1" ht="91" customHeight="1">
      <c r="A12" s="3" t="s">
        <v>58</v>
      </c>
      <c r="B12" s="430" t="str">
        <f>"Giá trị quyền sử dụng đất tại thửa đất số: "&amp;C15&amp;", tờ bản đồ số "&amp;E15&amp;" có địa chỉ: "&amp;F16&amp;" theo "&amp;F6&amp;" số: "&amp;F1&amp;", số vào sổ cấp GCN: "&amp;F2&amp;" do "&amp;F3&amp;" cấp ngày "&amp;F4&amp;"; Chủ sử dụng đất là "&amp;F5</f>
        <v>Giá trị quyền sử dụng đất tại thửa đất số: 16, tờ bản đồ số 42 có địa chỉ: Số 1011 Ngô Gia Tự, phường Đức Giang; Quận Long Biên, Hà Nội theo Giấy chứng nhận quyền sử dụng đất quyền sở hữu nhà ở và tài sản khác gắn liền với đất số: CĐ 603946, số vào sổ cấp GCN: CH04239 do Ủy ban nhân dân thành phố Nha Trang cấp ngày 15/07/2016; Chủ sử dụng đất là Ông Nguyễn Văn Toan</v>
      </c>
      <c r="C12" s="430"/>
      <c r="D12" s="430"/>
      <c r="E12" s="430"/>
      <c r="F12" s="227" t="str">
        <f>B12</f>
        <v>Giá trị quyền sử dụng đất tại thửa đất số: 16, tờ bản đồ số 42 có địa chỉ: Số 1011 Ngô Gia Tự, phường Đức Giang; Quận Long Biên, Hà Nội theo Giấy chứng nhận quyền sử dụng đất quyền sở hữu nhà ở và tài sản khác gắn liền với đất số: CĐ 603946, số vào sổ cấp GCN: CH04239 do Ủy ban nhân dân thành phố Nha Trang cấp ngày 15/07/2016; Chủ sử dụng đất là Ông Nguyễn Văn Toan</v>
      </c>
      <c r="J12" s="76"/>
    </row>
    <row r="13" spans="1:10" s="1" customFormat="1" ht="15.75" customHeight="1">
      <c r="A13" s="3" t="s">
        <v>59</v>
      </c>
      <c r="B13" s="417" t="s">
        <v>60</v>
      </c>
      <c r="C13" s="417"/>
      <c r="D13" s="417"/>
      <c r="E13" s="417"/>
    </row>
    <row r="14" spans="1:10" s="1" customFormat="1" ht="15.75" customHeight="1">
      <c r="A14" s="3" t="s">
        <v>196</v>
      </c>
      <c r="B14" s="417" t="s">
        <v>197</v>
      </c>
      <c r="C14" s="417"/>
      <c r="D14" s="417"/>
      <c r="E14" s="417"/>
    </row>
    <row r="15" spans="1:10" s="1" customFormat="1">
      <c r="A15" s="4" t="s">
        <v>61</v>
      </c>
      <c r="B15" s="94" t="s">
        <v>112</v>
      </c>
      <c r="C15" s="80">
        <v>16</v>
      </c>
      <c r="D15" s="94" t="s">
        <v>113</v>
      </c>
      <c r="E15" s="80">
        <v>42</v>
      </c>
    </row>
    <row r="16" spans="1:10" s="1" customFormat="1">
      <c r="A16" s="4" t="s">
        <v>61</v>
      </c>
      <c r="B16" s="94" t="s">
        <v>62</v>
      </c>
      <c r="C16" s="431" t="s">
        <v>294</v>
      </c>
      <c r="D16" s="432"/>
      <c r="E16" s="433"/>
      <c r="F16" s="10" t="str">
        <f>C16</f>
        <v>Số 1011 Ngô Gia Tự, phường Đức Giang; Quận Long Biên, Hà Nội</v>
      </c>
    </row>
    <row r="17" spans="1:6" s="1" customFormat="1">
      <c r="A17" s="4" t="s">
        <v>61</v>
      </c>
      <c r="B17" s="94" t="s">
        <v>63</v>
      </c>
      <c r="C17" s="231">
        <v>429</v>
      </c>
      <c r="D17" s="82" t="s">
        <v>185</v>
      </c>
      <c r="E17" s="82" t="s">
        <v>266</v>
      </c>
    </row>
    <row r="18" spans="1:6" s="1" customFormat="1">
      <c r="A18" s="4" t="s">
        <v>61</v>
      </c>
      <c r="B18" s="94" t="s">
        <v>64</v>
      </c>
      <c r="C18" s="204" t="s">
        <v>212</v>
      </c>
      <c r="D18" s="81" t="s">
        <v>65</v>
      </c>
      <c r="E18" s="82" t="s">
        <v>205</v>
      </c>
      <c r="F18" s="5"/>
    </row>
    <row r="19" spans="1:6" s="1" customFormat="1" ht="31" customHeight="1">
      <c r="A19" s="4" t="s">
        <v>61</v>
      </c>
      <c r="B19" s="94" t="s">
        <v>209</v>
      </c>
      <c r="C19" s="407" t="s">
        <v>249</v>
      </c>
      <c r="D19" s="407"/>
      <c r="E19" s="407"/>
      <c r="F19" s="5"/>
    </row>
    <row r="20" spans="1:6" s="1" customFormat="1" ht="66.75" customHeight="1">
      <c r="A20" s="4" t="s">
        <v>61</v>
      </c>
      <c r="B20" s="276" t="s">
        <v>280</v>
      </c>
      <c r="C20" s="434" t="s">
        <v>281</v>
      </c>
      <c r="D20" s="435"/>
      <c r="E20" s="436"/>
      <c r="F20" s="5"/>
    </row>
    <row r="21" spans="1:6" s="1" customFormat="1" hidden="1">
      <c r="A21" s="4" t="s">
        <v>61</v>
      </c>
      <c r="B21" s="94" t="s">
        <v>257</v>
      </c>
      <c r="C21" s="414" t="s">
        <v>268</v>
      </c>
      <c r="D21" s="415"/>
      <c r="E21" s="416"/>
      <c r="F21" s="5"/>
    </row>
    <row r="22" spans="1:6" s="1" customFormat="1" ht="31.5" customHeight="1">
      <c r="A22" s="4" t="s">
        <v>61</v>
      </c>
      <c r="B22" s="94" t="s">
        <v>206</v>
      </c>
      <c r="C22" s="407" t="s">
        <v>250</v>
      </c>
      <c r="D22" s="407"/>
      <c r="E22" s="407"/>
      <c r="F22" s="5"/>
    </row>
    <row r="23" spans="1:6" s="1" customFormat="1">
      <c r="A23" s="3" t="s">
        <v>66</v>
      </c>
      <c r="B23" s="417" t="s">
        <v>67</v>
      </c>
      <c r="C23" s="417"/>
      <c r="D23" s="417"/>
      <c r="E23" s="417"/>
    </row>
    <row r="24" spans="1:6" s="1" customFormat="1" ht="15" customHeight="1">
      <c r="A24" s="83" t="s">
        <v>68</v>
      </c>
      <c r="B24" s="417" t="s">
        <v>162</v>
      </c>
      <c r="C24" s="417"/>
      <c r="D24" s="417"/>
      <c r="E24" s="417"/>
      <c r="F24" s="176"/>
    </row>
    <row r="25" spans="1:6" s="1" customFormat="1" hidden="1">
      <c r="A25" s="4" t="s">
        <v>61</v>
      </c>
      <c r="B25" s="58" t="s">
        <v>214</v>
      </c>
      <c r="C25" s="419" t="str">
        <f>C16</f>
        <v>Số 1011 Ngô Gia Tự, phường Đức Giang; Quận Long Biên, Hà Nội</v>
      </c>
      <c r="D25" s="420"/>
      <c r="E25" s="421"/>
      <c r="F25" s="230" t="str">
        <f>C25</f>
        <v>Số 1011 Ngô Gia Tự, phường Đức Giang; Quận Long Biên, Hà Nội</v>
      </c>
    </row>
    <row r="26" spans="1:6" s="1" customFormat="1">
      <c r="A26" s="4" t="s">
        <v>61</v>
      </c>
      <c r="B26" s="183" t="s">
        <v>211</v>
      </c>
      <c r="C26" s="232" t="s">
        <v>295</v>
      </c>
      <c r="D26" s="233" t="s">
        <v>69</v>
      </c>
      <c r="E26" s="234" t="s">
        <v>267</v>
      </c>
      <c r="F26" s="78"/>
    </row>
    <row r="27" spans="1:6" s="6" customFormat="1" ht="62">
      <c r="A27" s="235" t="s">
        <v>61</v>
      </c>
      <c r="B27" s="236" t="s">
        <v>224</v>
      </c>
      <c r="C27" s="237" t="s">
        <v>296</v>
      </c>
      <c r="D27" s="236" t="s">
        <v>225</v>
      </c>
      <c r="E27" s="237" t="str">
        <f>C27</f>
        <v>36m2</v>
      </c>
      <c r="F27" s="6" t="str">
        <f>LOWER(E27)</f>
        <v>36m2</v>
      </c>
    </row>
    <row r="28" spans="1:6" s="6" customFormat="1" ht="36" customHeight="1">
      <c r="A28" s="4" t="s">
        <v>61</v>
      </c>
      <c r="B28" s="238" t="s">
        <v>163</v>
      </c>
      <c r="C28" s="419" t="s">
        <v>297</v>
      </c>
      <c r="D28" s="420"/>
      <c r="E28" s="421"/>
    </row>
    <row r="29" spans="1:6" s="6" customFormat="1" ht="52.5" customHeight="1">
      <c r="A29" s="4" t="s">
        <v>61</v>
      </c>
      <c r="B29" s="86" t="s">
        <v>223</v>
      </c>
      <c r="C29" s="425" t="s">
        <v>282</v>
      </c>
      <c r="D29" s="426"/>
      <c r="E29" s="427"/>
    </row>
    <row r="30" spans="1:6" s="6" customFormat="1">
      <c r="A30" s="4" t="s">
        <v>61</v>
      </c>
      <c r="B30" s="408" t="s">
        <v>210</v>
      </c>
      <c r="C30" s="409"/>
      <c r="D30" s="409"/>
      <c r="E30" s="410"/>
      <c r="F30" s="229"/>
    </row>
    <row r="31" spans="1:6" s="6" customFormat="1">
      <c r="A31" s="4" t="s">
        <v>61</v>
      </c>
      <c r="B31" s="411"/>
      <c r="C31" s="412"/>
      <c r="D31" s="412"/>
      <c r="E31" s="413"/>
      <c r="F31" s="177"/>
    </row>
    <row r="32" spans="1:6" s="1" customFormat="1">
      <c r="A32" s="3" t="s">
        <v>70</v>
      </c>
      <c r="B32" s="417" t="s">
        <v>71</v>
      </c>
      <c r="C32" s="417"/>
      <c r="D32" s="417"/>
      <c r="E32" s="417"/>
    </row>
    <row r="33" spans="1:16" s="1" customFormat="1" ht="31">
      <c r="A33" s="4" t="s">
        <v>61</v>
      </c>
      <c r="B33" s="58" t="s">
        <v>207</v>
      </c>
      <c r="C33" s="210">
        <f>C17</f>
        <v>429</v>
      </c>
      <c r="D33" s="86" t="s">
        <v>208</v>
      </c>
      <c r="E33" s="205">
        <v>0</v>
      </c>
      <c r="F33" s="11"/>
      <c r="O33" s="7"/>
      <c r="P33" s="7"/>
    </row>
    <row r="34" spans="1:16" s="6" customFormat="1">
      <c r="A34" s="84" t="s">
        <v>61</v>
      </c>
      <c r="B34" s="58" t="s">
        <v>260</v>
      </c>
      <c r="C34" s="211">
        <v>3.87</v>
      </c>
      <c r="D34" s="88" t="s">
        <v>203</v>
      </c>
      <c r="E34" s="206">
        <v>21.34</v>
      </c>
      <c r="F34" s="11"/>
    </row>
    <row r="35" spans="1:16" s="1" customFormat="1">
      <c r="A35" s="84" t="s">
        <v>61</v>
      </c>
      <c r="B35" s="58" t="s">
        <v>261</v>
      </c>
      <c r="C35" s="207" t="s">
        <v>298</v>
      </c>
      <c r="D35" s="58" t="s">
        <v>204</v>
      </c>
      <c r="E35" s="205"/>
      <c r="O35" s="7"/>
      <c r="P35" s="7"/>
    </row>
    <row r="36" spans="1:16" s="1" customFormat="1">
      <c r="A36" s="3" t="s">
        <v>72</v>
      </c>
      <c r="B36" s="417" t="s">
        <v>94</v>
      </c>
      <c r="C36" s="417"/>
      <c r="D36" s="417"/>
      <c r="E36" s="417"/>
      <c r="O36" s="7"/>
      <c r="P36" s="7"/>
    </row>
    <row r="37" spans="1:16" s="1" customFormat="1">
      <c r="A37" s="4" t="s">
        <v>61</v>
      </c>
      <c r="B37" s="85" t="s">
        <v>95</v>
      </c>
      <c r="C37" s="418" t="s">
        <v>73</v>
      </c>
      <c r="D37" s="418"/>
      <c r="E37" s="418"/>
      <c r="O37" s="7"/>
      <c r="P37" s="7"/>
    </row>
    <row r="38" spans="1:16" s="1" customFormat="1">
      <c r="A38" s="4" t="s">
        <v>61</v>
      </c>
      <c r="B38" s="85" t="s">
        <v>96</v>
      </c>
      <c r="C38" s="418" t="s">
        <v>93</v>
      </c>
      <c r="D38" s="418"/>
      <c r="E38" s="418"/>
      <c r="O38" s="7"/>
      <c r="P38" s="7"/>
    </row>
    <row r="39" spans="1:16" s="1" customFormat="1" ht="30.75" customHeight="1">
      <c r="A39" s="4" t="s">
        <v>61</v>
      </c>
      <c r="B39" s="85" t="s">
        <v>97</v>
      </c>
      <c r="C39" s="4" t="s">
        <v>253</v>
      </c>
      <c r="D39" s="85" t="s">
        <v>74</v>
      </c>
      <c r="E39" s="4" t="s">
        <v>75</v>
      </c>
      <c r="O39" s="7"/>
      <c r="P39" s="7"/>
    </row>
    <row r="40" spans="1:16" s="1" customFormat="1" ht="30.65" customHeight="1">
      <c r="A40" s="84" t="s">
        <v>61</v>
      </c>
      <c r="B40" s="85" t="s">
        <v>98</v>
      </c>
      <c r="C40" s="4" t="s">
        <v>274</v>
      </c>
      <c r="D40" s="85" t="s">
        <v>99</v>
      </c>
      <c r="E40" s="4" t="s">
        <v>187</v>
      </c>
      <c r="O40" s="7"/>
      <c r="P40" s="7"/>
    </row>
    <row r="41" spans="1:16" s="1" customFormat="1" hidden="1">
      <c r="A41" s="184" t="s">
        <v>61</v>
      </c>
      <c r="B41" s="185" t="s">
        <v>226</v>
      </c>
      <c r="C41" s="422"/>
      <c r="D41" s="423"/>
      <c r="E41" s="424"/>
      <c r="O41" s="7"/>
      <c r="P41" s="7"/>
    </row>
    <row r="42" spans="1:16" s="1" customFormat="1" hidden="1">
      <c r="A42" s="184" t="s">
        <v>61</v>
      </c>
      <c r="B42" s="185" t="s">
        <v>227</v>
      </c>
      <c r="C42" s="422"/>
      <c r="D42" s="423"/>
      <c r="E42" s="424"/>
      <c r="O42" s="7"/>
      <c r="P42" s="7"/>
    </row>
    <row r="43" spans="1:16" s="1" customFormat="1">
      <c r="A43" s="3" t="s">
        <v>76</v>
      </c>
      <c r="B43" s="417" t="s">
        <v>283</v>
      </c>
      <c r="C43" s="417"/>
      <c r="D43" s="417"/>
      <c r="E43" s="417"/>
      <c r="O43" s="7"/>
      <c r="P43" s="7"/>
    </row>
    <row r="44" spans="1:16" s="1" customFormat="1" ht="112.5" customHeight="1">
      <c r="A44" s="4"/>
      <c r="B44" s="406" t="s">
        <v>284</v>
      </c>
      <c r="C44" s="406"/>
      <c r="D44" s="406"/>
      <c r="E44" s="406"/>
      <c r="F44" s="7" t="s">
        <v>254</v>
      </c>
      <c r="O44" s="7"/>
      <c r="P44" s="7"/>
    </row>
    <row r="45" spans="1:16">
      <c r="B45" s="406" t="s">
        <v>262</v>
      </c>
      <c r="C45" s="406"/>
      <c r="D45" s="406"/>
      <c r="E45" s="406"/>
    </row>
  </sheetData>
  <mergeCells count="28">
    <mergeCell ref="C29:E29"/>
    <mergeCell ref="B32:E32"/>
    <mergeCell ref="C28:E28"/>
    <mergeCell ref="A4:E4"/>
    <mergeCell ref="A11:E11"/>
    <mergeCell ref="B12:E12"/>
    <mergeCell ref="B13:E13"/>
    <mergeCell ref="C16:E16"/>
    <mergeCell ref="A7:E7"/>
    <mergeCell ref="A8:E8"/>
    <mergeCell ref="B14:E14"/>
    <mergeCell ref="C20:E20"/>
    <mergeCell ref="B45:E45"/>
    <mergeCell ref="C19:E19"/>
    <mergeCell ref="B30:E30"/>
    <mergeCell ref="B31:E31"/>
    <mergeCell ref="C21:E21"/>
    <mergeCell ref="C22:E22"/>
    <mergeCell ref="B23:E23"/>
    <mergeCell ref="B24:E24"/>
    <mergeCell ref="C38:E38"/>
    <mergeCell ref="B43:E43"/>
    <mergeCell ref="B44:E44"/>
    <mergeCell ref="C25:E25"/>
    <mergeCell ref="C41:E41"/>
    <mergeCell ref="C42:E42"/>
    <mergeCell ref="C37:E37"/>
    <mergeCell ref="B36:E36"/>
  </mergeCells>
  <pageMargins left="0.7" right="0.7" top="0.75" bottom="0.49" header="0.3" footer="0.5"/>
  <pageSetup paperSize="9" scale="99" fitToHeight="0"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8827-1EEF-4D58-9CB4-DD5B37E5BC4D}">
  <dimension ref="A1:G35"/>
  <sheetViews>
    <sheetView tabSelected="1" view="pageBreakPreview" topLeftCell="A16" zoomScale="93" zoomScaleNormal="100" zoomScaleSheetLayoutView="93" workbookViewId="0">
      <selection activeCell="B17" sqref="B17:D17"/>
    </sheetView>
  </sheetViews>
  <sheetFormatPr defaultRowHeight="15.5"/>
  <cols>
    <col min="1" max="1" width="8.6640625" style="361"/>
    <col min="2" max="2" width="31.33203125" style="361" customWidth="1"/>
    <col min="3" max="4" width="12.58203125" style="361" customWidth="1"/>
    <col min="5" max="5" width="18.75" style="361" customWidth="1"/>
    <col min="6" max="6" width="18.75" style="361" hidden="1" customWidth="1"/>
    <col min="7" max="7" width="15.5" style="361" customWidth="1"/>
    <col min="8" max="16384" width="8.6640625" style="361"/>
  </cols>
  <sheetData>
    <row r="1" spans="1:7" ht="30">
      <c r="A1" s="360" t="s">
        <v>100</v>
      </c>
      <c r="B1" s="360" t="s">
        <v>117</v>
      </c>
      <c r="C1" s="360" t="s">
        <v>186</v>
      </c>
      <c r="D1" s="360" t="s">
        <v>118</v>
      </c>
      <c r="E1" s="360" t="s">
        <v>119</v>
      </c>
      <c r="F1" s="360" t="s">
        <v>119</v>
      </c>
    </row>
    <row r="2" spans="1:7" ht="101" customHeight="1">
      <c r="A2" s="360">
        <v>1</v>
      </c>
      <c r="B2" s="437" t="s">
        <v>363</v>
      </c>
      <c r="C2" s="437"/>
      <c r="D2" s="437"/>
      <c r="E2" s="362">
        <f>E3+E4</f>
        <v>2881437200</v>
      </c>
      <c r="F2" s="362">
        <v>2305022320</v>
      </c>
      <c r="G2" s="378">
        <f>F2-E2</f>
        <v>-576414880</v>
      </c>
    </row>
    <row r="3" spans="1:7">
      <c r="A3" s="363" t="s">
        <v>61</v>
      </c>
      <c r="B3" s="364" t="s">
        <v>326</v>
      </c>
      <c r="C3" s="373">
        <v>221.6</v>
      </c>
      <c r="D3" s="366">
        <f>'Đc đơn giá'!O2</f>
        <v>13000000</v>
      </c>
      <c r="E3" s="367">
        <f>C3*D3</f>
        <v>2880800000</v>
      </c>
      <c r="F3" s="367">
        <v>2304640000</v>
      </c>
      <c r="G3" s="378">
        <f t="shared" ref="G3:G34" si="0">F3-E3</f>
        <v>-576160000</v>
      </c>
    </row>
    <row r="4" spans="1:7" ht="31">
      <c r="A4" s="363" t="s">
        <v>61</v>
      </c>
      <c r="B4" s="364" t="s">
        <v>327</v>
      </c>
      <c r="C4" s="373">
        <v>11.8</v>
      </c>
      <c r="D4" s="366">
        <v>54000</v>
      </c>
      <c r="E4" s="367">
        <f>C4*D4</f>
        <v>637200</v>
      </c>
      <c r="F4" s="367">
        <v>382320</v>
      </c>
      <c r="G4" s="378">
        <f t="shared" si="0"/>
        <v>-254880</v>
      </c>
    </row>
    <row r="5" spans="1:7" ht="113.5" customHeight="1">
      <c r="A5" s="360">
        <v>2</v>
      </c>
      <c r="B5" s="437" t="s">
        <v>364</v>
      </c>
      <c r="C5" s="437"/>
      <c r="D5" s="437"/>
      <c r="E5" s="362">
        <f t="shared" ref="E5" si="1">E6+E7</f>
        <v>3207505000</v>
      </c>
      <c r="F5" s="362">
        <v>2565923000</v>
      </c>
      <c r="G5" s="378">
        <f t="shared" si="0"/>
        <v>-641582000</v>
      </c>
    </row>
    <row r="6" spans="1:7">
      <c r="A6" s="363" t="s">
        <v>61</v>
      </c>
      <c r="B6" s="372" t="s">
        <v>326</v>
      </c>
      <c r="C6" s="373">
        <v>246.7</v>
      </c>
      <c r="D6" s="366">
        <f>'Đc đơn giá'!O3</f>
        <v>13000000</v>
      </c>
      <c r="E6" s="367">
        <f>C6*D6</f>
        <v>3207100000</v>
      </c>
      <c r="F6" s="367">
        <v>2565680000</v>
      </c>
      <c r="G6" s="378">
        <f t="shared" si="0"/>
        <v>-641420000</v>
      </c>
    </row>
    <row r="7" spans="1:7" ht="31">
      <c r="A7" s="363" t="s">
        <v>61</v>
      </c>
      <c r="B7" s="372" t="s">
        <v>327</v>
      </c>
      <c r="C7" s="373">
        <v>7.5</v>
      </c>
      <c r="D7" s="366">
        <f>D4</f>
        <v>54000</v>
      </c>
      <c r="E7" s="367">
        <f>C7*D7</f>
        <v>405000</v>
      </c>
      <c r="F7" s="367">
        <v>243000</v>
      </c>
      <c r="G7" s="378">
        <f t="shared" si="0"/>
        <v>-162000</v>
      </c>
    </row>
    <row r="8" spans="1:7" ht="111" customHeight="1">
      <c r="A8" s="360">
        <v>3</v>
      </c>
      <c r="B8" s="437" t="s">
        <v>365</v>
      </c>
      <c r="C8" s="437"/>
      <c r="D8" s="437"/>
      <c r="E8" s="362">
        <f t="shared" ref="E8" si="2">E9+E10</f>
        <v>3068486000</v>
      </c>
      <c r="F8" s="362">
        <v>2454691600</v>
      </c>
      <c r="G8" s="378">
        <f t="shared" si="0"/>
        <v>-613794400</v>
      </c>
    </row>
    <row r="9" spans="1:7">
      <c r="A9" s="363" t="s">
        <v>61</v>
      </c>
      <c r="B9" s="372" t="s">
        <v>326</v>
      </c>
      <c r="C9" s="373">
        <v>236</v>
      </c>
      <c r="D9" s="366">
        <f>'Đc đơn giá'!O4</f>
        <v>13000000</v>
      </c>
      <c r="E9" s="367">
        <f>C9*D9</f>
        <v>3068000000</v>
      </c>
      <c r="F9" s="367">
        <v>2454400000</v>
      </c>
      <c r="G9" s="378">
        <f t="shared" si="0"/>
        <v>-613600000</v>
      </c>
    </row>
    <row r="10" spans="1:7" ht="31">
      <c r="A10" s="363" t="s">
        <v>61</v>
      </c>
      <c r="B10" s="372" t="s">
        <v>327</v>
      </c>
      <c r="C10" s="373">
        <v>9</v>
      </c>
      <c r="D10" s="366">
        <f>D7</f>
        <v>54000</v>
      </c>
      <c r="E10" s="367">
        <f>C10*D10</f>
        <v>486000</v>
      </c>
      <c r="F10" s="367">
        <v>291600</v>
      </c>
      <c r="G10" s="378">
        <f t="shared" si="0"/>
        <v>-194400</v>
      </c>
    </row>
    <row r="11" spans="1:7" ht="101" customHeight="1">
      <c r="A11" s="360">
        <v>4</v>
      </c>
      <c r="B11" s="437" t="s">
        <v>366</v>
      </c>
      <c r="C11" s="437"/>
      <c r="D11" s="437"/>
      <c r="E11" s="362">
        <f t="shared" ref="E11" si="3">E12+E13</f>
        <v>2964583200</v>
      </c>
      <c r="F11" s="362">
        <v>2371549920</v>
      </c>
      <c r="G11" s="378">
        <f t="shared" si="0"/>
        <v>-593033280</v>
      </c>
    </row>
    <row r="12" spans="1:7">
      <c r="A12" s="363" t="s">
        <v>61</v>
      </c>
      <c r="B12" s="372" t="s">
        <v>326</v>
      </c>
      <c r="C12" s="373">
        <v>228</v>
      </c>
      <c r="D12" s="366">
        <f>'Đc đơn giá'!O5</f>
        <v>13000000</v>
      </c>
      <c r="E12" s="367">
        <f>C12*D12</f>
        <v>2964000000</v>
      </c>
      <c r="F12" s="367">
        <v>2371200000</v>
      </c>
      <c r="G12" s="378">
        <f t="shared" si="0"/>
        <v>-592800000</v>
      </c>
    </row>
    <row r="13" spans="1:7" ht="31">
      <c r="A13" s="363" t="s">
        <v>61</v>
      </c>
      <c r="B13" s="372" t="s">
        <v>327</v>
      </c>
      <c r="C13" s="373">
        <v>10.8</v>
      </c>
      <c r="D13" s="366">
        <f>D10</f>
        <v>54000</v>
      </c>
      <c r="E13" s="367">
        <f>C13*D13</f>
        <v>583200</v>
      </c>
      <c r="F13" s="367">
        <v>349920</v>
      </c>
      <c r="G13" s="378">
        <f t="shared" si="0"/>
        <v>-233280</v>
      </c>
    </row>
    <row r="14" spans="1:7" ht="108.5" customHeight="1">
      <c r="A14" s="360">
        <v>5</v>
      </c>
      <c r="B14" s="437" t="s">
        <v>367</v>
      </c>
      <c r="C14" s="437"/>
      <c r="D14" s="437"/>
      <c r="E14" s="362">
        <f t="shared" ref="E14" si="4">E15+E16</f>
        <v>5247694800</v>
      </c>
      <c r="F14" s="362">
        <v>4121408880</v>
      </c>
      <c r="G14" s="378">
        <f t="shared" si="0"/>
        <v>-1126285920</v>
      </c>
    </row>
    <row r="15" spans="1:7">
      <c r="A15" s="363" t="s">
        <v>61</v>
      </c>
      <c r="B15" s="372" t="s">
        <v>326</v>
      </c>
      <c r="C15" s="373">
        <v>424.8</v>
      </c>
      <c r="D15" s="366">
        <f>'Đc đơn giá'!O6</f>
        <v>12350000</v>
      </c>
      <c r="E15" s="367">
        <f t="shared" ref="E15:E16" si="5">C15*D15</f>
        <v>5246280000</v>
      </c>
      <c r="F15" s="367">
        <v>4120560000</v>
      </c>
      <c r="G15" s="378">
        <f t="shared" si="0"/>
        <v>-1125720000</v>
      </c>
    </row>
    <row r="16" spans="1:7" ht="31">
      <c r="A16" s="363" t="s">
        <v>61</v>
      </c>
      <c r="B16" s="372" t="s">
        <v>327</v>
      </c>
      <c r="C16" s="373">
        <v>26.2</v>
      </c>
      <c r="D16" s="366">
        <f>D13</f>
        <v>54000</v>
      </c>
      <c r="E16" s="367">
        <f t="shared" si="5"/>
        <v>1414800</v>
      </c>
      <c r="F16" s="367">
        <v>848880</v>
      </c>
      <c r="G16" s="378">
        <f t="shared" si="0"/>
        <v>-565920</v>
      </c>
    </row>
    <row r="17" spans="1:7" ht="101" customHeight="1">
      <c r="A17" s="360">
        <v>6</v>
      </c>
      <c r="B17" s="437" t="s">
        <v>368</v>
      </c>
      <c r="C17" s="437"/>
      <c r="D17" s="437"/>
      <c r="E17" s="362">
        <f t="shared" ref="E17" si="6">E18+E19</f>
        <v>8598357880</v>
      </c>
      <c r="F17" s="362">
        <v>8593280080</v>
      </c>
      <c r="G17" s="378">
        <f t="shared" si="0"/>
        <v>-5077800</v>
      </c>
    </row>
    <row r="18" spans="1:7">
      <c r="A18" s="363" t="s">
        <v>61</v>
      </c>
      <c r="B18" s="364" t="s">
        <v>326</v>
      </c>
      <c r="C18" s="365">
        <v>1225</v>
      </c>
      <c r="D18" s="366">
        <v>7000000</v>
      </c>
      <c r="E18" s="367">
        <f>C18*D18</f>
        <v>8575000000</v>
      </c>
      <c r="F18" s="367">
        <v>8575000000</v>
      </c>
      <c r="G18" s="378">
        <f t="shared" si="0"/>
        <v>0</v>
      </c>
    </row>
    <row r="19" spans="1:7" ht="31">
      <c r="A19" s="368" t="s">
        <v>61</v>
      </c>
      <c r="B19" s="369" t="s">
        <v>327</v>
      </c>
      <c r="C19" s="370">
        <v>564.20000000000005</v>
      </c>
      <c r="D19" s="371">
        <v>41400</v>
      </c>
      <c r="E19" s="367">
        <f>C19*D19</f>
        <v>23357880.000000004</v>
      </c>
      <c r="F19" s="367">
        <v>18280080</v>
      </c>
      <c r="G19" s="378">
        <f t="shared" si="0"/>
        <v>-5077800.0000000037</v>
      </c>
    </row>
    <row r="20" spans="1:7" ht="101" customHeight="1">
      <c r="A20" s="360">
        <v>7</v>
      </c>
      <c r="B20" s="437" t="s">
        <v>332</v>
      </c>
      <c r="C20" s="437"/>
      <c r="D20" s="437"/>
      <c r="E20" s="362">
        <f t="shared" ref="E20" si="7">E21+E22</f>
        <v>1593398380</v>
      </c>
      <c r="F20" s="362">
        <v>2275703080</v>
      </c>
      <c r="G20" s="378">
        <f t="shared" si="0"/>
        <v>682304700</v>
      </c>
    </row>
    <row r="21" spans="1:7">
      <c r="A21" s="363" t="s">
        <v>61</v>
      </c>
      <c r="B21" s="372" t="s">
        <v>326</v>
      </c>
      <c r="C21" s="373">
        <v>227.5</v>
      </c>
      <c r="D21" s="366">
        <f>'Đc đơn giá'!O8</f>
        <v>7000000</v>
      </c>
      <c r="E21" s="367">
        <f>C21*D21</f>
        <v>1592500000</v>
      </c>
      <c r="F21" s="367">
        <v>2275000000</v>
      </c>
      <c r="G21" s="378">
        <f t="shared" si="0"/>
        <v>682500000</v>
      </c>
    </row>
    <row r="22" spans="1:7" ht="31">
      <c r="A22" s="363" t="s">
        <v>61</v>
      </c>
      <c r="B22" s="372" t="s">
        <v>327</v>
      </c>
      <c r="C22" s="373">
        <v>21.7</v>
      </c>
      <c r="D22" s="366">
        <f>D19</f>
        <v>41400</v>
      </c>
      <c r="E22" s="367">
        <f>C22*D22</f>
        <v>898380</v>
      </c>
      <c r="F22" s="367">
        <v>703080</v>
      </c>
      <c r="G22" s="378">
        <f t="shared" si="0"/>
        <v>-195300</v>
      </c>
    </row>
    <row r="23" spans="1:7" ht="101" customHeight="1">
      <c r="A23" s="360">
        <v>8</v>
      </c>
      <c r="B23" s="437" t="s">
        <v>333</v>
      </c>
      <c r="C23" s="437"/>
      <c r="D23" s="437"/>
      <c r="E23" s="362">
        <f t="shared" ref="E23" si="8">E24+E25</f>
        <v>1594798380</v>
      </c>
      <c r="F23" s="362">
        <v>2277703080</v>
      </c>
      <c r="G23" s="378">
        <f t="shared" si="0"/>
        <v>682904700</v>
      </c>
    </row>
    <row r="24" spans="1:7">
      <c r="A24" s="363" t="s">
        <v>61</v>
      </c>
      <c r="B24" s="372" t="s">
        <v>326</v>
      </c>
      <c r="C24" s="373">
        <v>227.7</v>
      </c>
      <c r="D24" s="366">
        <f>'Đc đơn giá'!O9</f>
        <v>7000000</v>
      </c>
      <c r="E24" s="367">
        <f>C24*D24</f>
        <v>1593900000</v>
      </c>
      <c r="F24" s="367">
        <v>2277000000</v>
      </c>
      <c r="G24" s="378">
        <f t="shared" si="0"/>
        <v>683100000</v>
      </c>
    </row>
    <row r="25" spans="1:7" ht="31">
      <c r="A25" s="363" t="s">
        <v>61</v>
      </c>
      <c r="B25" s="372" t="s">
        <v>327</v>
      </c>
      <c r="C25" s="373">
        <v>21.7</v>
      </c>
      <c r="D25" s="366">
        <f>D22</f>
        <v>41400</v>
      </c>
      <c r="E25" s="367">
        <f>C25*D25</f>
        <v>898380</v>
      </c>
      <c r="F25" s="367">
        <v>703080</v>
      </c>
      <c r="G25" s="378">
        <f t="shared" si="0"/>
        <v>-195300</v>
      </c>
    </row>
    <row r="26" spans="1:7" ht="101" customHeight="1">
      <c r="A26" s="360">
        <v>9</v>
      </c>
      <c r="B26" s="437" t="s">
        <v>334</v>
      </c>
      <c r="C26" s="437"/>
      <c r="D26" s="437"/>
      <c r="E26" s="362">
        <f t="shared" ref="E26" si="9">E27+E28</f>
        <v>1603902520</v>
      </c>
      <c r="F26" s="362">
        <v>2290706320</v>
      </c>
      <c r="G26" s="378">
        <f t="shared" si="0"/>
        <v>686803800</v>
      </c>
    </row>
    <row r="27" spans="1:7">
      <c r="A27" s="363" t="s">
        <v>61</v>
      </c>
      <c r="B27" s="372" t="s">
        <v>326</v>
      </c>
      <c r="C27" s="373">
        <v>229</v>
      </c>
      <c r="D27" s="366">
        <f>'Đc đơn giá'!O10</f>
        <v>7000000</v>
      </c>
      <c r="E27" s="367">
        <f>C27*D27</f>
        <v>1603000000</v>
      </c>
      <c r="F27" s="367">
        <v>2290000000</v>
      </c>
      <c r="G27" s="378">
        <f t="shared" si="0"/>
        <v>687000000</v>
      </c>
    </row>
    <row r="28" spans="1:7" ht="31">
      <c r="A28" s="363" t="s">
        <v>61</v>
      </c>
      <c r="B28" s="372" t="s">
        <v>327</v>
      </c>
      <c r="C28" s="373">
        <v>21.8</v>
      </c>
      <c r="D28" s="366">
        <f>D25</f>
        <v>41400</v>
      </c>
      <c r="E28" s="367">
        <f>C28*D28</f>
        <v>902520</v>
      </c>
      <c r="F28" s="367">
        <v>706320</v>
      </c>
      <c r="G28" s="378">
        <f t="shared" si="0"/>
        <v>-196200</v>
      </c>
    </row>
    <row r="29" spans="1:7" ht="101" customHeight="1">
      <c r="A29" s="360">
        <v>10</v>
      </c>
      <c r="B29" s="437" t="s">
        <v>335</v>
      </c>
      <c r="C29" s="437"/>
      <c r="D29" s="437"/>
      <c r="E29" s="362">
        <f t="shared" ref="E29" si="10">E30+E31</f>
        <v>1614394240</v>
      </c>
      <c r="F29" s="362">
        <v>2305699840</v>
      </c>
      <c r="G29" s="378">
        <f t="shared" si="0"/>
        <v>691305600</v>
      </c>
    </row>
    <row r="30" spans="1:7">
      <c r="A30" s="363" t="s">
        <v>61</v>
      </c>
      <c r="B30" s="372" t="s">
        <v>326</v>
      </c>
      <c r="C30" s="373">
        <v>230.5</v>
      </c>
      <c r="D30" s="366">
        <f>'Đc đơn giá'!O11</f>
        <v>7000000</v>
      </c>
      <c r="E30" s="367">
        <f>C30*D30</f>
        <v>1613500000</v>
      </c>
      <c r="F30" s="367">
        <v>2305000000</v>
      </c>
      <c r="G30" s="378">
        <f t="shared" si="0"/>
        <v>691500000</v>
      </c>
    </row>
    <row r="31" spans="1:7" ht="31">
      <c r="A31" s="363" t="s">
        <v>61</v>
      </c>
      <c r="B31" s="372" t="s">
        <v>327</v>
      </c>
      <c r="C31" s="373">
        <v>21.6</v>
      </c>
      <c r="D31" s="366">
        <f>D28</f>
        <v>41400</v>
      </c>
      <c r="E31" s="367">
        <f>C31*D31</f>
        <v>894240.00000000012</v>
      </c>
      <c r="F31" s="367">
        <v>699840</v>
      </c>
      <c r="G31" s="378">
        <f t="shared" si="0"/>
        <v>-194400.00000000012</v>
      </c>
    </row>
    <row r="32" spans="1:7">
      <c r="A32" s="374"/>
      <c r="B32" s="439" t="s">
        <v>329</v>
      </c>
      <c r="C32" s="439"/>
      <c r="D32" s="439"/>
      <c r="E32" s="375">
        <f>E2+E5+E8+E11+E14+E17+E20+E23+E26+E29</f>
        <v>32374557600</v>
      </c>
      <c r="F32" s="375">
        <v>31561688120</v>
      </c>
      <c r="G32" s="378">
        <f t="shared" si="0"/>
        <v>-812869480</v>
      </c>
    </row>
    <row r="33" spans="1:7">
      <c r="A33" s="376"/>
      <c r="B33" s="440" t="s">
        <v>330</v>
      </c>
      <c r="C33" s="440"/>
      <c r="D33" s="440"/>
      <c r="E33" s="377">
        <f>ROUND(E32,-6)</f>
        <v>32375000000</v>
      </c>
      <c r="F33" s="377">
        <v>31562000000</v>
      </c>
      <c r="G33" s="378">
        <f t="shared" si="0"/>
        <v>-813000000</v>
      </c>
    </row>
    <row r="34" spans="1:7">
      <c r="A34" s="373"/>
      <c r="B34" s="438" t="s">
        <v>331</v>
      </c>
      <c r="C34" s="438"/>
      <c r="D34" s="438"/>
      <c r="E34" s="438"/>
      <c r="G34" s="378">
        <f t="shared" si="0"/>
        <v>0</v>
      </c>
    </row>
    <row r="35" spans="1:7">
      <c r="E35" s="378" t="e">
        <f>E33+#REF!+E14</f>
        <v>#REF!</v>
      </c>
    </row>
  </sheetData>
  <mergeCells count="13">
    <mergeCell ref="B34:E34"/>
    <mergeCell ref="B11:D11"/>
    <mergeCell ref="B14:D14"/>
    <mergeCell ref="B5:D5"/>
    <mergeCell ref="B8:D8"/>
    <mergeCell ref="B32:D32"/>
    <mergeCell ref="B33:D33"/>
    <mergeCell ref="B20:D20"/>
    <mergeCell ref="B23:D23"/>
    <mergeCell ref="B26:D26"/>
    <mergeCell ref="B29:D29"/>
    <mergeCell ref="B2:D2"/>
    <mergeCell ref="B17:D17"/>
  </mergeCells>
  <pageMargins left="0.7" right="0.7" top="0.75" bottom="0.75" header="0.3" footer="0.3"/>
  <pageSetup paperSize="9" scale="70" orientation="portrait" r:id="rId1"/>
  <ignoredErrors>
    <ignoredError sqref="E14:E16 E5:E1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4035-52A2-44EF-8C5A-6E904FADE95E}">
  <dimension ref="A1:Q14"/>
  <sheetViews>
    <sheetView topLeftCell="B1" zoomScale="104" zoomScaleNormal="104" workbookViewId="0">
      <selection activeCell="B7" sqref="B7:B11"/>
    </sheetView>
  </sheetViews>
  <sheetFormatPr defaultRowHeight="13"/>
  <cols>
    <col min="1" max="1" width="4.9140625" style="330" customWidth="1"/>
    <col min="2" max="2" width="47.25" style="330" customWidth="1"/>
    <col min="3" max="3" width="7" style="330" customWidth="1"/>
    <col min="4" max="4" width="5.83203125" style="355" customWidth="1"/>
    <col min="5" max="5" width="5.83203125" style="330" customWidth="1"/>
    <col min="6" max="6" width="5.83203125" style="355" customWidth="1"/>
    <col min="7" max="7" width="5.83203125" style="359" customWidth="1"/>
    <col min="8" max="8" width="5.83203125" style="355" customWidth="1"/>
    <col min="9" max="9" width="5.83203125" style="359" customWidth="1"/>
    <col min="10" max="10" width="5.83203125" style="355" customWidth="1"/>
    <col min="11" max="11" width="5.83203125" style="330" customWidth="1"/>
    <col min="12" max="12" width="5.83203125" style="355" customWidth="1"/>
    <col min="13" max="13" width="5.83203125" style="330" customWidth="1"/>
    <col min="14" max="14" width="12.58203125" style="330" customWidth="1"/>
    <col min="15" max="15" width="13.58203125" style="330" customWidth="1"/>
    <col min="16" max="16" width="18.75" style="330" hidden="1" customWidth="1"/>
    <col min="17" max="17" width="40.6640625" style="330" customWidth="1"/>
    <col min="18" max="16384" width="8.6640625" style="330"/>
  </cols>
  <sheetData>
    <row r="1" spans="1:17" ht="52">
      <c r="A1" s="327" t="s">
        <v>100</v>
      </c>
      <c r="B1" s="327" t="s">
        <v>117</v>
      </c>
      <c r="C1" s="327" t="s">
        <v>186</v>
      </c>
      <c r="D1" s="328" t="s">
        <v>357</v>
      </c>
      <c r="E1" s="327" t="s">
        <v>353</v>
      </c>
      <c r="F1" s="328" t="s">
        <v>357</v>
      </c>
      <c r="G1" s="327" t="s">
        <v>354</v>
      </c>
      <c r="H1" s="328" t="s">
        <v>357</v>
      </c>
      <c r="I1" s="327" t="s">
        <v>361</v>
      </c>
      <c r="J1" s="328" t="s">
        <v>357</v>
      </c>
      <c r="K1" s="327" t="s">
        <v>229</v>
      </c>
      <c r="L1" s="328" t="s">
        <v>357</v>
      </c>
      <c r="M1" s="329" t="s">
        <v>358</v>
      </c>
      <c r="N1" s="327" t="s">
        <v>352</v>
      </c>
      <c r="O1" s="327" t="s">
        <v>359</v>
      </c>
      <c r="P1" s="327" t="s">
        <v>119</v>
      </c>
    </row>
    <row r="2" spans="1:17" ht="78">
      <c r="A2" s="331">
        <v>1</v>
      </c>
      <c r="B2" s="332" t="s">
        <v>325</v>
      </c>
      <c r="C2" s="333">
        <v>221.6</v>
      </c>
      <c r="D2" s="334"/>
      <c r="E2" s="335">
        <v>5.99</v>
      </c>
      <c r="F2" s="334"/>
      <c r="G2" s="331" t="s">
        <v>304</v>
      </c>
      <c r="H2" s="334"/>
      <c r="I2" s="331" t="s">
        <v>356</v>
      </c>
      <c r="J2" s="334"/>
      <c r="K2" s="331" t="s">
        <v>362</v>
      </c>
      <c r="L2" s="334"/>
      <c r="M2" s="336"/>
      <c r="N2" s="337">
        <f>'BĐC '!$G$84</f>
        <v>13000000</v>
      </c>
      <c r="O2" s="337">
        <f>'BĐC '!$G$84</f>
        <v>13000000</v>
      </c>
      <c r="P2" s="338">
        <f>O2*C2</f>
        <v>2880800000</v>
      </c>
    </row>
    <row r="3" spans="1:17" ht="78">
      <c r="A3" s="339">
        <f>A2+1</f>
        <v>2</v>
      </c>
      <c r="B3" s="340" t="s">
        <v>336</v>
      </c>
      <c r="C3" s="345">
        <v>246.7</v>
      </c>
      <c r="D3" s="341">
        <v>0</v>
      </c>
      <c r="E3" s="345">
        <v>4.47</v>
      </c>
      <c r="F3" s="341">
        <v>0</v>
      </c>
      <c r="G3" s="339" t="s">
        <v>304</v>
      </c>
      <c r="H3" s="341">
        <v>0</v>
      </c>
      <c r="I3" s="339" t="s">
        <v>356</v>
      </c>
      <c r="J3" s="341">
        <v>0</v>
      </c>
      <c r="K3" s="345" t="s">
        <v>362</v>
      </c>
      <c r="L3" s="341">
        <v>0</v>
      </c>
      <c r="M3" s="342">
        <f t="shared" ref="M3:M6" si="0">L3+J3+H3+F3+D3</f>
        <v>0</v>
      </c>
      <c r="N3" s="343">
        <f>'BĐC '!$G$84</f>
        <v>13000000</v>
      </c>
      <c r="O3" s="343">
        <f t="shared" ref="O3:O6" si="1">N3*(100%+M3)</f>
        <v>13000000</v>
      </c>
      <c r="P3" s="344">
        <f t="shared" ref="P3:P6" si="2">O3*C3</f>
        <v>3207100000</v>
      </c>
    </row>
    <row r="4" spans="1:17" ht="78">
      <c r="A4" s="339">
        <f t="shared" ref="A4:A11" si="3">A3+1</f>
        <v>3</v>
      </c>
      <c r="B4" s="340" t="s">
        <v>337</v>
      </c>
      <c r="C4" s="345">
        <v>236</v>
      </c>
      <c r="D4" s="341">
        <v>0</v>
      </c>
      <c r="E4" s="345">
        <v>5.97</v>
      </c>
      <c r="F4" s="341">
        <v>0</v>
      </c>
      <c r="G4" s="339" t="s">
        <v>304</v>
      </c>
      <c r="H4" s="341">
        <v>0</v>
      </c>
      <c r="I4" s="339" t="s">
        <v>356</v>
      </c>
      <c r="J4" s="341">
        <v>0</v>
      </c>
      <c r="K4" s="345" t="s">
        <v>362</v>
      </c>
      <c r="L4" s="341">
        <v>0</v>
      </c>
      <c r="M4" s="342">
        <f t="shared" si="0"/>
        <v>0</v>
      </c>
      <c r="N4" s="343">
        <f>'BĐC '!$G$84</f>
        <v>13000000</v>
      </c>
      <c r="O4" s="343">
        <f t="shared" si="1"/>
        <v>13000000</v>
      </c>
      <c r="P4" s="344">
        <f t="shared" si="2"/>
        <v>3068000000</v>
      </c>
    </row>
    <row r="5" spans="1:17" ht="78">
      <c r="A5" s="339">
        <f t="shared" si="3"/>
        <v>4</v>
      </c>
      <c r="B5" s="340" t="s">
        <v>338</v>
      </c>
      <c r="C5" s="345">
        <v>228</v>
      </c>
      <c r="D5" s="341">
        <v>0</v>
      </c>
      <c r="E5" s="345">
        <v>5.97</v>
      </c>
      <c r="F5" s="341">
        <v>0</v>
      </c>
      <c r="G5" s="339" t="s">
        <v>304</v>
      </c>
      <c r="H5" s="341">
        <v>0</v>
      </c>
      <c r="I5" s="339" t="s">
        <v>356</v>
      </c>
      <c r="J5" s="341">
        <v>0</v>
      </c>
      <c r="K5" s="345" t="s">
        <v>362</v>
      </c>
      <c r="L5" s="341">
        <v>0</v>
      </c>
      <c r="M5" s="342">
        <f t="shared" si="0"/>
        <v>0</v>
      </c>
      <c r="N5" s="343">
        <f>'BĐC '!$G$84</f>
        <v>13000000</v>
      </c>
      <c r="O5" s="343">
        <f t="shared" si="1"/>
        <v>13000000</v>
      </c>
      <c r="P5" s="344">
        <f t="shared" si="2"/>
        <v>2964000000</v>
      </c>
    </row>
    <row r="6" spans="1:17" s="379" customFormat="1" ht="78">
      <c r="A6" s="331">
        <f t="shared" si="3"/>
        <v>5</v>
      </c>
      <c r="B6" s="332" t="s">
        <v>339</v>
      </c>
      <c r="C6" s="335">
        <v>424.8</v>
      </c>
      <c r="D6" s="334">
        <v>0.05</v>
      </c>
      <c r="E6" s="335">
        <f>7.01+4.97</f>
        <v>11.98</v>
      </c>
      <c r="F6" s="334">
        <v>-0.1</v>
      </c>
      <c r="G6" s="331" t="s">
        <v>304</v>
      </c>
      <c r="H6" s="334">
        <v>0</v>
      </c>
      <c r="I6" s="331" t="s">
        <v>356</v>
      </c>
      <c r="J6" s="334">
        <v>0</v>
      </c>
      <c r="K6" s="335" t="s">
        <v>362</v>
      </c>
      <c r="L6" s="334">
        <v>0</v>
      </c>
      <c r="M6" s="336">
        <f t="shared" si="0"/>
        <v>-0.05</v>
      </c>
      <c r="N6" s="337">
        <f>'BĐC '!$G$84</f>
        <v>13000000</v>
      </c>
      <c r="O6" s="337">
        <f t="shared" si="1"/>
        <v>12350000</v>
      </c>
      <c r="P6" s="338">
        <f t="shared" si="2"/>
        <v>5246280000</v>
      </c>
    </row>
    <row r="7" spans="1:17" s="379" customFormat="1" ht="78">
      <c r="A7" s="331">
        <f t="shared" si="3"/>
        <v>6</v>
      </c>
      <c r="B7" s="332" t="s">
        <v>328</v>
      </c>
      <c r="C7" s="380">
        <v>1225</v>
      </c>
      <c r="D7" s="334">
        <v>-0.25</v>
      </c>
      <c r="E7" s="380">
        <f>20.05+7.94</f>
        <v>27.990000000000002</v>
      </c>
      <c r="F7" s="334">
        <v>0.15</v>
      </c>
      <c r="G7" s="381" t="s">
        <v>298</v>
      </c>
      <c r="H7" s="334">
        <v>-0.05</v>
      </c>
      <c r="I7" s="381" t="s">
        <v>349</v>
      </c>
      <c r="J7" s="334">
        <v>-0.3</v>
      </c>
      <c r="K7" s="381" t="s">
        <v>362</v>
      </c>
      <c r="L7" s="334">
        <v>0</v>
      </c>
      <c r="M7" s="336">
        <f>L7+J7+H7+F7+D7</f>
        <v>-0.44999999999999996</v>
      </c>
      <c r="N7" s="337">
        <f>'BĐC '!$G$84</f>
        <v>13000000</v>
      </c>
      <c r="O7" s="337">
        <f>ROUND(N7*(100%+M7),-6)</f>
        <v>7000000</v>
      </c>
      <c r="P7" s="338">
        <f>O7*C7</f>
        <v>8575000000</v>
      </c>
    </row>
    <row r="8" spans="1:17" ht="78">
      <c r="A8" s="339">
        <f t="shared" si="3"/>
        <v>7</v>
      </c>
      <c r="B8" s="340" t="s">
        <v>332</v>
      </c>
      <c r="C8" s="345">
        <v>227.5</v>
      </c>
      <c r="D8" s="341">
        <v>0</v>
      </c>
      <c r="E8" s="345">
        <v>5</v>
      </c>
      <c r="F8" s="341">
        <v>0</v>
      </c>
      <c r="G8" s="339" t="s">
        <v>355</v>
      </c>
      <c r="H8" s="341">
        <v>-0.15</v>
      </c>
      <c r="I8" s="356" t="s">
        <v>349</v>
      </c>
      <c r="J8" s="341">
        <v>-0.3</v>
      </c>
      <c r="K8" s="345" t="s">
        <v>362</v>
      </c>
      <c r="L8" s="341">
        <v>0</v>
      </c>
      <c r="M8" s="342">
        <f>L8+J8+H8+F8+D8</f>
        <v>-0.44999999999999996</v>
      </c>
      <c r="N8" s="343">
        <f>'BĐC '!$G$84</f>
        <v>13000000</v>
      </c>
      <c r="O8" s="343">
        <f>ROUND(N8*(100%+M8),-6)</f>
        <v>7000000</v>
      </c>
      <c r="P8" s="344">
        <f>O8*C8</f>
        <v>1592500000</v>
      </c>
    </row>
    <row r="9" spans="1:17" ht="78">
      <c r="A9" s="339">
        <f t="shared" si="3"/>
        <v>8</v>
      </c>
      <c r="B9" s="340" t="s">
        <v>333</v>
      </c>
      <c r="C9" s="345">
        <v>227.7</v>
      </c>
      <c r="D9" s="341">
        <v>0</v>
      </c>
      <c r="E9" s="345">
        <v>5</v>
      </c>
      <c r="F9" s="341">
        <v>0</v>
      </c>
      <c r="G9" s="339" t="s">
        <v>355</v>
      </c>
      <c r="H9" s="341">
        <v>-0.15</v>
      </c>
      <c r="I9" s="339" t="s">
        <v>349</v>
      </c>
      <c r="J9" s="341">
        <v>-0.3</v>
      </c>
      <c r="K9" s="345" t="s">
        <v>362</v>
      </c>
      <c r="L9" s="341">
        <v>0</v>
      </c>
      <c r="M9" s="342">
        <f>L9+J9+H9+F9+D9</f>
        <v>-0.44999999999999996</v>
      </c>
      <c r="N9" s="343">
        <f>'BĐC '!$G$84</f>
        <v>13000000</v>
      </c>
      <c r="O9" s="343">
        <f t="shared" ref="O9:O11" si="4">ROUND(N9*(100%+M9),-6)</f>
        <v>7000000</v>
      </c>
      <c r="P9" s="344">
        <f>O9*C9</f>
        <v>1593900000</v>
      </c>
      <c r="Q9" s="330" t="s">
        <v>342</v>
      </c>
    </row>
    <row r="10" spans="1:17" ht="78">
      <c r="A10" s="339">
        <f t="shared" si="3"/>
        <v>9</v>
      </c>
      <c r="B10" s="340" t="s">
        <v>334</v>
      </c>
      <c r="C10" s="345">
        <v>229</v>
      </c>
      <c r="D10" s="341">
        <v>0</v>
      </c>
      <c r="E10" s="345">
        <v>5</v>
      </c>
      <c r="F10" s="341">
        <v>0</v>
      </c>
      <c r="G10" s="339" t="s">
        <v>355</v>
      </c>
      <c r="H10" s="341">
        <v>-0.15</v>
      </c>
      <c r="I10" s="339" t="s">
        <v>349</v>
      </c>
      <c r="J10" s="341">
        <v>-0.3</v>
      </c>
      <c r="K10" s="345" t="s">
        <v>362</v>
      </c>
      <c r="L10" s="341">
        <v>0</v>
      </c>
      <c r="M10" s="342">
        <f>L10+J10+H10+F10+D10</f>
        <v>-0.44999999999999996</v>
      </c>
      <c r="N10" s="343">
        <f>'BĐC '!$G$84</f>
        <v>13000000</v>
      </c>
      <c r="O10" s="343">
        <f t="shared" si="4"/>
        <v>7000000</v>
      </c>
      <c r="P10" s="344">
        <f>O10*C10</f>
        <v>1603000000</v>
      </c>
    </row>
    <row r="11" spans="1:17" ht="78">
      <c r="A11" s="339">
        <f t="shared" si="3"/>
        <v>10</v>
      </c>
      <c r="B11" s="340" t="s">
        <v>335</v>
      </c>
      <c r="C11" s="345">
        <v>230.5</v>
      </c>
      <c r="D11" s="341">
        <v>0</v>
      </c>
      <c r="E11" s="345">
        <v>5</v>
      </c>
      <c r="F11" s="341">
        <v>0</v>
      </c>
      <c r="G11" s="339" t="s">
        <v>355</v>
      </c>
      <c r="H11" s="341">
        <v>-0.15</v>
      </c>
      <c r="I11" s="339" t="s">
        <v>349</v>
      </c>
      <c r="J11" s="341">
        <v>-0.3</v>
      </c>
      <c r="K11" s="345" t="s">
        <v>362</v>
      </c>
      <c r="L11" s="341">
        <v>0</v>
      </c>
      <c r="M11" s="342">
        <f>L11+J11+H11+F11+D11</f>
        <v>-0.44999999999999996</v>
      </c>
      <c r="N11" s="343">
        <f>'BĐC '!$G$84</f>
        <v>13000000</v>
      </c>
      <c r="O11" s="343">
        <f t="shared" si="4"/>
        <v>7000000</v>
      </c>
      <c r="P11" s="344">
        <f>O11*C11</f>
        <v>1613500000</v>
      </c>
    </row>
    <row r="12" spans="1:17">
      <c r="A12" s="346"/>
      <c r="B12" s="347" t="s">
        <v>329</v>
      </c>
      <c r="C12" s="347"/>
      <c r="D12" s="348"/>
      <c r="E12" s="347"/>
      <c r="F12" s="348"/>
      <c r="G12" s="357"/>
      <c r="H12" s="348"/>
      <c r="I12" s="357"/>
      <c r="J12" s="348"/>
      <c r="K12" s="347"/>
      <c r="L12" s="348"/>
      <c r="M12" s="347"/>
      <c r="N12" s="347"/>
      <c r="O12" s="347"/>
      <c r="P12" s="349">
        <f>P6+P5+P4+P3+P11+P10+P9+P8+P7+P2</f>
        <v>32344080000</v>
      </c>
    </row>
    <row r="13" spans="1:17">
      <c r="A13" s="350"/>
      <c r="B13" s="351" t="s">
        <v>330</v>
      </c>
      <c r="C13" s="351"/>
      <c r="D13" s="352"/>
      <c r="E13" s="351"/>
      <c r="F13" s="352"/>
      <c r="G13" s="358"/>
      <c r="H13" s="352"/>
      <c r="I13" s="358"/>
      <c r="J13" s="352"/>
      <c r="K13" s="351"/>
      <c r="L13" s="352"/>
      <c r="M13" s="351"/>
      <c r="N13" s="351"/>
      <c r="O13" s="351"/>
      <c r="P13" s="353">
        <f>ROUND(P12,-6)</f>
        <v>32344000000</v>
      </c>
    </row>
    <row r="14" spans="1:17" ht="13.5">
      <c r="A14" s="354"/>
      <c r="B14" s="441" t="s">
        <v>331</v>
      </c>
      <c r="C14" s="441"/>
      <c r="D14" s="441"/>
      <c r="E14" s="441"/>
      <c r="F14" s="441"/>
      <c r="G14" s="441"/>
      <c r="H14" s="441"/>
      <c r="I14" s="441"/>
      <c r="J14" s="441"/>
      <c r="K14" s="441"/>
      <c r="L14" s="441"/>
      <c r="M14" s="441"/>
      <c r="N14" s="441"/>
      <c r="O14" s="441"/>
      <c r="P14" s="441"/>
    </row>
  </sheetData>
  <autoFilter ref="A1:Z14" xr:uid="{418ADDEB-95EE-4239-B948-204E3EA8EB7E}"/>
  <mergeCells count="1">
    <mergeCell ref="B14:P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35FC-A6E1-4B2E-8F9E-626BF7423103}">
  <dimension ref="A1:G10"/>
  <sheetViews>
    <sheetView workbookViewId="0">
      <selection sqref="A1:G10"/>
    </sheetView>
  </sheetViews>
  <sheetFormatPr defaultRowHeight="15.5"/>
  <cols>
    <col min="2" max="2" width="15.4140625" customWidth="1"/>
    <col min="3" max="7" width="14.6640625" customWidth="1"/>
  </cols>
  <sheetData>
    <row r="1" spans="1:7" ht="56">
      <c r="A1" s="388" t="s">
        <v>100</v>
      </c>
      <c r="B1" s="388" t="s">
        <v>369</v>
      </c>
      <c r="C1" s="389" t="s">
        <v>372</v>
      </c>
      <c r="D1" s="389" t="s">
        <v>373</v>
      </c>
      <c r="E1" s="389" t="s">
        <v>377</v>
      </c>
      <c r="F1" s="389" t="s">
        <v>378</v>
      </c>
      <c r="G1" s="389" t="s">
        <v>379</v>
      </c>
    </row>
    <row r="2" spans="1:7">
      <c r="A2" s="132">
        <v>1</v>
      </c>
      <c r="B2" s="390" t="s">
        <v>370</v>
      </c>
      <c r="C2" s="394">
        <f>'Đc đơn giá'!C7</f>
        <v>1225</v>
      </c>
      <c r="D2" s="394">
        <f>'Đc đơn giá'!C8</f>
        <v>227.5</v>
      </c>
      <c r="E2" s="395">
        <f>'Đc đơn giá'!C9</f>
        <v>227.7</v>
      </c>
      <c r="F2" s="394">
        <f>'Đc đơn giá'!C10</f>
        <v>229</v>
      </c>
      <c r="G2" s="395">
        <f>'Đc đơn giá'!C11</f>
        <v>230.5</v>
      </c>
    </row>
    <row r="3" spans="1:7">
      <c r="A3" s="132" t="s">
        <v>61</v>
      </c>
      <c r="B3" s="390" t="s">
        <v>17</v>
      </c>
      <c r="C3" s="132"/>
      <c r="D3" s="391">
        <v>0.25</v>
      </c>
      <c r="E3" s="391">
        <v>0.25</v>
      </c>
      <c r="F3" s="391">
        <v>0.25</v>
      </c>
      <c r="G3" s="391">
        <v>0.25</v>
      </c>
    </row>
    <row r="4" spans="1:7">
      <c r="A4" s="132">
        <v>2</v>
      </c>
      <c r="B4" s="390" t="s">
        <v>353</v>
      </c>
      <c r="C4" s="396">
        <f>'Đc đơn giá'!E7</f>
        <v>27.990000000000002</v>
      </c>
      <c r="D4" s="397">
        <f>'Đc đơn giá'!E8</f>
        <v>5</v>
      </c>
      <c r="E4" s="397">
        <v>5</v>
      </c>
      <c r="F4" s="397">
        <v>5</v>
      </c>
      <c r="G4" s="397">
        <v>5</v>
      </c>
    </row>
    <row r="5" spans="1:7">
      <c r="A5" s="132" t="s">
        <v>61</v>
      </c>
      <c r="B5" s="390" t="s">
        <v>17</v>
      </c>
      <c r="C5" s="132"/>
      <c r="D5" s="391">
        <v>-0.15</v>
      </c>
      <c r="E5" s="391">
        <v>-0.15</v>
      </c>
      <c r="F5" s="391">
        <v>-0.15</v>
      </c>
      <c r="G5" s="391">
        <v>-0.15</v>
      </c>
    </row>
    <row r="6" spans="1:7" ht="28">
      <c r="A6" s="132">
        <v>3</v>
      </c>
      <c r="B6" s="390" t="s">
        <v>354</v>
      </c>
      <c r="C6" s="90" t="s">
        <v>374</v>
      </c>
      <c r="D6" s="90" t="s">
        <v>298</v>
      </c>
      <c r="E6" s="90" t="s">
        <v>298</v>
      </c>
      <c r="F6" s="90" t="s">
        <v>298</v>
      </c>
      <c r="G6" s="90" t="s">
        <v>298</v>
      </c>
    </row>
    <row r="7" spans="1:7">
      <c r="A7" s="132" t="s">
        <v>61</v>
      </c>
      <c r="B7" s="390" t="s">
        <v>17</v>
      </c>
      <c r="C7" s="132"/>
      <c r="D7" s="391">
        <v>-0.1</v>
      </c>
      <c r="E7" s="391">
        <v>-0.1</v>
      </c>
      <c r="F7" s="391">
        <v>-0.1</v>
      </c>
      <c r="G7" s="391">
        <v>-0.1</v>
      </c>
    </row>
    <row r="8" spans="1:7" ht="28">
      <c r="A8" s="139">
        <v>4</v>
      </c>
      <c r="B8" s="392" t="s">
        <v>371</v>
      </c>
      <c r="C8" s="139"/>
      <c r="D8" s="393">
        <f>D3+D5+D7</f>
        <v>0</v>
      </c>
      <c r="E8" s="393">
        <f t="shared" ref="E8:G8" si="0">E3+E5+E7</f>
        <v>0</v>
      </c>
      <c r="F8" s="393">
        <f t="shared" si="0"/>
        <v>0</v>
      </c>
      <c r="G8" s="393">
        <f t="shared" si="0"/>
        <v>0</v>
      </c>
    </row>
    <row r="9" spans="1:7" ht="28">
      <c r="A9" s="139">
        <v>5</v>
      </c>
      <c r="B9" s="392" t="s">
        <v>375</v>
      </c>
      <c r="C9" s="139"/>
      <c r="D9" s="398">
        <v>7000000</v>
      </c>
      <c r="E9" s="398">
        <v>7000000</v>
      </c>
      <c r="F9" s="398">
        <v>7000000</v>
      </c>
      <c r="G9" s="398">
        <v>7000000</v>
      </c>
    </row>
    <row r="10" spans="1:7" ht="28">
      <c r="A10" s="139">
        <v>6</v>
      </c>
      <c r="B10" s="392" t="s">
        <v>376</v>
      </c>
      <c r="C10" s="139"/>
      <c r="D10" s="399">
        <f>D9*(100%+D8)</f>
        <v>7000000</v>
      </c>
      <c r="E10" s="399">
        <f t="shared" ref="E10:G10" si="1">E9*(100%+E8)</f>
        <v>7000000</v>
      </c>
      <c r="F10" s="399">
        <f t="shared" si="1"/>
        <v>7000000</v>
      </c>
      <c r="G10" s="399">
        <f t="shared" si="1"/>
        <v>7000000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3:I83"/>
  <sheetViews>
    <sheetView topLeftCell="A50" zoomScaleNormal="100" workbookViewId="0">
      <selection activeCell="E75" sqref="E75"/>
    </sheetView>
  </sheetViews>
  <sheetFormatPr defaultRowHeight="14"/>
  <cols>
    <col min="1" max="1" width="5.08203125" style="128" customWidth="1"/>
    <col min="2" max="2" width="19.08203125" style="181" customWidth="1"/>
    <col min="3" max="3" width="21.33203125" style="129" customWidth="1"/>
    <col min="4" max="4" width="21.33203125" style="319" hidden="1" customWidth="1"/>
    <col min="5" max="6" width="21.33203125" style="129" customWidth="1"/>
    <col min="7" max="7" width="21.33203125" style="172" customWidth="1"/>
    <col min="8" max="8" width="12" style="128" customWidth="1"/>
    <col min="9" max="9" width="10.83203125" style="128" bestFit="1" customWidth="1"/>
    <col min="10" max="251" width="9" style="128"/>
    <col min="252" max="252" width="9.83203125" style="128" bestFit="1" customWidth="1"/>
    <col min="253" max="253" width="8.33203125" style="128" bestFit="1" customWidth="1"/>
    <col min="254" max="254" width="18.58203125" style="128" customWidth="1"/>
    <col min="255" max="255" width="17.08203125" style="128" customWidth="1"/>
    <col min="256" max="256" width="14.58203125" style="128" bestFit="1" customWidth="1"/>
    <col min="257" max="257" width="9" style="128"/>
    <col min="258" max="258" width="3.83203125" style="128" customWidth="1"/>
    <col min="259" max="259" width="14.5" style="128" bestFit="1" customWidth="1"/>
    <col min="260" max="260" width="7.08203125" style="128" bestFit="1" customWidth="1"/>
    <col min="261" max="261" width="8.58203125" style="128" bestFit="1" customWidth="1"/>
    <col min="262" max="262" width="5" style="128" bestFit="1" customWidth="1"/>
    <col min="263" max="263" width="13.5" style="128" bestFit="1" customWidth="1"/>
    <col min="264" max="264" width="12" style="128" customWidth="1"/>
    <col min="265" max="507" width="9" style="128"/>
    <col min="508" max="508" width="9.83203125" style="128" bestFit="1" customWidth="1"/>
    <col min="509" max="509" width="8.33203125" style="128" bestFit="1" customWidth="1"/>
    <col min="510" max="510" width="18.58203125" style="128" customWidth="1"/>
    <col min="511" max="511" width="17.08203125" style="128" customWidth="1"/>
    <col min="512" max="512" width="14.58203125" style="128" bestFit="1" customWidth="1"/>
    <col min="513" max="513" width="9" style="128"/>
    <col min="514" max="514" width="3.83203125" style="128" customWidth="1"/>
    <col min="515" max="515" width="14.5" style="128" bestFit="1" customWidth="1"/>
    <col min="516" max="516" width="7.08203125" style="128" bestFit="1" customWidth="1"/>
    <col min="517" max="517" width="8.58203125" style="128" bestFit="1" customWidth="1"/>
    <col min="518" max="518" width="5" style="128" bestFit="1" customWidth="1"/>
    <col min="519" max="519" width="13.5" style="128" bestFit="1" customWidth="1"/>
    <col min="520" max="520" width="12" style="128" customWidth="1"/>
    <col min="521" max="763" width="9" style="128"/>
    <col min="764" max="764" width="9.83203125" style="128" bestFit="1" customWidth="1"/>
    <col min="765" max="765" width="8.33203125" style="128" bestFit="1" customWidth="1"/>
    <col min="766" max="766" width="18.58203125" style="128" customWidth="1"/>
    <col min="767" max="767" width="17.08203125" style="128" customWidth="1"/>
    <col min="768" max="768" width="14.58203125" style="128" bestFit="1" customWidth="1"/>
    <col min="769" max="769" width="9" style="128"/>
    <col min="770" max="770" width="3.83203125" style="128" customWidth="1"/>
    <col min="771" max="771" width="14.5" style="128" bestFit="1" customWidth="1"/>
    <col min="772" max="772" width="7.08203125" style="128" bestFit="1" customWidth="1"/>
    <col min="773" max="773" width="8.58203125" style="128" bestFit="1" customWidth="1"/>
    <col min="774" max="774" width="5" style="128" bestFit="1" customWidth="1"/>
    <col min="775" max="775" width="13.5" style="128" bestFit="1" customWidth="1"/>
    <col min="776" max="776" width="12" style="128" customWidth="1"/>
    <col min="777" max="1019" width="9" style="128"/>
    <col min="1020" max="1020" width="9.83203125" style="128" bestFit="1" customWidth="1"/>
    <col min="1021" max="1021" width="8.33203125" style="128" bestFit="1" customWidth="1"/>
    <col min="1022" max="1022" width="18.58203125" style="128" customWidth="1"/>
    <col min="1023" max="1023" width="17.08203125" style="128" customWidth="1"/>
    <col min="1024" max="1024" width="14.58203125" style="128" bestFit="1" customWidth="1"/>
    <col min="1025" max="1025" width="9" style="128"/>
    <col min="1026" max="1026" width="3.83203125" style="128" customWidth="1"/>
    <col min="1027" max="1027" width="14.5" style="128" bestFit="1" customWidth="1"/>
    <col min="1028" max="1028" width="7.08203125" style="128" bestFit="1" customWidth="1"/>
    <col min="1029" max="1029" width="8.58203125" style="128" bestFit="1" customWidth="1"/>
    <col min="1030" max="1030" width="5" style="128" bestFit="1" customWidth="1"/>
    <col min="1031" max="1031" width="13.5" style="128" bestFit="1" customWidth="1"/>
    <col min="1032" max="1032" width="12" style="128" customWidth="1"/>
    <col min="1033" max="1275" width="9" style="128"/>
    <col min="1276" max="1276" width="9.83203125" style="128" bestFit="1" customWidth="1"/>
    <col min="1277" max="1277" width="8.33203125" style="128" bestFit="1" customWidth="1"/>
    <col min="1278" max="1278" width="18.58203125" style="128" customWidth="1"/>
    <col min="1279" max="1279" width="17.08203125" style="128" customWidth="1"/>
    <col min="1280" max="1280" width="14.58203125" style="128" bestFit="1" customWidth="1"/>
    <col min="1281" max="1281" width="9" style="128"/>
    <col min="1282" max="1282" width="3.83203125" style="128" customWidth="1"/>
    <col min="1283" max="1283" width="14.5" style="128" bestFit="1" customWidth="1"/>
    <col min="1284" max="1284" width="7.08203125" style="128" bestFit="1" customWidth="1"/>
    <col min="1285" max="1285" width="8.58203125" style="128" bestFit="1" customWidth="1"/>
    <col min="1286" max="1286" width="5" style="128" bestFit="1" customWidth="1"/>
    <col min="1287" max="1287" width="13.5" style="128" bestFit="1" customWidth="1"/>
    <col min="1288" max="1288" width="12" style="128" customWidth="1"/>
    <col min="1289" max="1531" width="9" style="128"/>
    <col min="1532" max="1532" width="9.83203125" style="128" bestFit="1" customWidth="1"/>
    <col min="1533" max="1533" width="8.33203125" style="128" bestFit="1" customWidth="1"/>
    <col min="1534" max="1534" width="18.58203125" style="128" customWidth="1"/>
    <col min="1535" max="1535" width="17.08203125" style="128" customWidth="1"/>
    <col min="1536" max="1536" width="14.58203125" style="128" bestFit="1" customWidth="1"/>
    <col min="1537" max="1537" width="9" style="128"/>
    <col min="1538" max="1538" width="3.83203125" style="128" customWidth="1"/>
    <col min="1539" max="1539" width="14.5" style="128" bestFit="1" customWidth="1"/>
    <col min="1540" max="1540" width="7.08203125" style="128" bestFit="1" customWidth="1"/>
    <col min="1541" max="1541" width="8.58203125" style="128" bestFit="1" customWidth="1"/>
    <col min="1542" max="1542" width="5" style="128" bestFit="1" customWidth="1"/>
    <col min="1543" max="1543" width="13.5" style="128" bestFit="1" customWidth="1"/>
    <col min="1544" max="1544" width="12" style="128" customWidth="1"/>
    <col min="1545" max="1787" width="9" style="128"/>
    <col min="1788" max="1788" width="9.83203125" style="128" bestFit="1" customWidth="1"/>
    <col min="1789" max="1789" width="8.33203125" style="128" bestFit="1" customWidth="1"/>
    <col min="1790" max="1790" width="18.58203125" style="128" customWidth="1"/>
    <col min="1791" max="1791" width="17.08203125" style="128" customWidth="1"/>
    <col min="1792" max="1792" width="14.58203125" style="128" bestFit="1" customWidth="1"/>
    <col min="1793" max="1793" width="9" style="128"/>
    <col min="1794" max="1794" width="3.83203125" style="128" customWidth="1"/>
    <col min="1795" max="1795" width="14.5" style="128" bestFit="1" customWidth="1"/>
    <col min="1796" max="1796" width="7.08203125" style="128" bestFit="1" customWidth="1"/>
    <col min="1797" max="1797" width="8.58203125" style="128" bestFit="1" customWidth="1"/>
    <col min="1798" max="1798" width="5" style="128" bestFit="1" customWidth="1"/>
    <col min="1799" max="1799" width="13.5" style="128" bestFit="1" customWidth="1"/>
    <col min="1800" max="1800" width="12" style="128" customWidth="1"/>
    <col min="1801" max="2043" width="9" style="128"/>
    <col min="2044" max="2044" width="9.83203125" style="128" bestFit="1" customWidth="1"/>
    <col min="2045" max="2045" width="8.33203125" style="128" bestFit="1" customWidth="1"/>
    <col min="2046" max="2046" width="18.58203125" style="128" customWidth="1"/>
    <col min="2047" max="2047" width="17.08203125" style="128" customWidth="1"/>
    <col min="2048" max="2048" width="14.58203125" style="128" bestFit="1" customWidth="1"/>
    <col min="2049" max="2049" width="9" style="128"/>
    <col min="2050" max="2050" width="3.83203125" style="128" customWidth="1"/>
    <col min="2051" max="2051" width="14.5" style="128" bestFit="1" customWidth="1"/>
    <col min="2052" max="2052" width="7.08203125" style="128" bestFit="1" customWidth="1"/>
    <col min="2053" max="2053" width="8.58203125" style="128" bestFit="1" customWidth="1"/>
    <col min="2054" max="2054" width="5" style="128" bestFit="1" customWidth="1"/>
    <col min="2055" max="2055" width="13.5" style="128" bestFit="1" customWidth="1"/>
    <col min="2056" max="2056" width="12" style="128" customWidth="1"/>
    <col min="2057" max="2299" width="9" style="128"/>
    <col min="2300" max="2300" width="9.83203125" style="128" bestFit="1" customWidth="1"/>
    <col min="2301" max="2301" width="8.33203125" style="128" bestFit="1" customWidth="1"/>
    <col min="2302" max="2302" width="18.58203125" style="128" customWidth="1"/>
    <col min="2303" max="2303" width="17.08203125" style="128" customWidth="1"/>
    <col min="2304" max="2304" width="14.58203125" style="128" bestFit="1" customWidth="1"/>
    <col min="2305" max="2305" width="9" style="128"/>
    <col min="2306" max="2306" width="3.83203125" style="128" customWidth="1"/>
    <col min="2307" max="2307" width="14.5" style="128" bestFit="1" customWidth="1"/>
    <col min="2308" max="2308" width="7.08203125" style="128" bestFit="1" customWidth="1"/>
    <col min="2309" max="2309" width="8.58203125" style="128" bestFit="1" customWidth="1"/>
    <col min="2310" max="2310" width="5" style="128" bestFit="1" customWidth="1"/>
    <col min="2311" max="2311" width="13.5" style="128" bestFit="1" customWidth="1"/>
    <col min="2312" max="2312" width="12" style="128" customWidth="1"/>
    <col min="2313" max="2555" width="9" style="128"/>
    <col min="2556" max="2556" width="9.83203125" style="128" bestFit="1" customWidth="1"/>
    <col min="2557" max="2557" width="8.33203125" style="128" bestFit="1" customWidth="1"/>
    <col min="2558" max="2558" width="18.58203125" style="128" customWidth="1"/>
    <col min="2559" max="2559" width="17.08203125" style="128" customWidth="1"/>
    <col min="2560" max="2560" width="14.58203125" style="128" bestFit="1" customWidth="1"/>
    <col min="2561" max="2561" width="9" style="128"/>
    <col min="2562" max="2562" width="3.83203125" style="128" customWidth="1"/>
    <col min="2563" max="2563" width="14.5" style="128" bestFit="1" customWidth="1"/>
    <col min="2564" max="2564" width="7.08203125" style="128" bestFit="1" customWidth="1"/>
    <col min="2565" max="2565" width="8.58203125" style="128" bestFit="1" customWidth="1"/>
    <col min="2566" max="2566" width="5" style="128" bestFit="1" customWidth="1"/>
    <col min="2567" max="2567" width="13.5" style="128" bestFit="1" customWidth="1"/>
    <col min="2568" max="2568" width="12" style="128" customWidth="1"/>
    <col min="2569" max="2811" width="9" style="128"/>
    <col min="2812" max="2812" width="9.83203125" style="128" bestFit="1" customWidth="1"/>
    <col min="2813" max="2813" width="8.33203125" style="128" bestFit="1" customWidth="1"/>
    <col min="2814" max="2814" width="18.58203125" style="128" customWidth="1"/>
    <col min="2815" max="2815" width="17.08203125" style="128" customWidth="1"/>
    <col min="2816" max="2816" width="14.58203125" style="128" bestFit="1" customWidth="1"/>
    <col min="2817" max="2817" width="9" style="128"/>
    <col min="2818" max="2818" width="3.83203125" style="128" customWidth="1"/>
    <col min="2819" max="2819" width="14.5" style="128" bestFit="1" customWidth="1"/>
    <col min="2820" max="2820" width="7.08203125" style="128" bestFit="1" customWidth="1"/>
    <col min="2821" max="2821" width="8.58203125" style="128" bestFit="1" customWidth="1"/>
    <col min="2822" max="2822" width="5" style="128" bestFit="1" customWidth="1"/>
    <col min="2823" max="2823" width="13.5" style="128" bestFit="1" customWidth="1"/>
    <col min="2824" max="2824" width="12" style="128" customWidth="1"/>
    <col min="2825" max="3067" width="9" style="128"/>
    <col min="3068" max="3068" width="9.83203125" style="128" bestFit="1" customWidth="1"/>
    <col min="3069" max="3069" width="8.33203125" style="128" bestFit="1" customWidth="1"/>
    <col min="3070" max="3070" width="18.58203125" style="128" customWidth="1"/>
    <col min="3071" max="3071" width="17.08203125" style="128" customWidth="1"/>
    <col min="3072" max="3072" width="14.58203125" style="128" bestFit="1" customWidth="1"/>
    <col min="3073" max="3073" width="9" style="128"/>
    <col min="3074" max="3074" width="3.83203125" style="128" customWidth="1"/>
    <col min="3075" max="3075" width="14.5" style="128" bestFit="1" customWidth="1"/>
    <col min="3076" max="3076" width="7.08203125" style="128" bestFit="1" customWidth="1"/>
    <col min="3077" max="3077" width="8.58203125" style="128" bestFit="1" customWidth="1"/>
    <col min="3078" max="3078" width="5" style="128" bestFit="1" customWidth="1"/>
    <col min="3079" max="3079" width="13.5" style="128" bestFit="1" customWidth="1"/>
    <col min="3080" max="3080" width="12" style="128" customWidth="1"/>
    <col min="3081" max="3323" width="9" style="128"/>
    <col min="3324" max="3324" width="9.83203125" style="128" bestFit="1" customWidth="1"/>
    <col min="3325" max="3325" width="8.33203125" style="128" bestFit="1" customWidth="1"/>
    <col min="3326" max="3326" width="18.58203125" style="128" customWidth="1"/>
    <col min="3327" max="3327" width="17.08203125" style="128" customWidth="1"/>
    <col min="3328" max="3328" width="14.58203125" style="128" bestFit="1" customWidth="1"/>
    <col min="3329" max="3329" width="9" style="128"/>
    <col min="3330" max="3330" width="3.83203125" style="128" customWidth="1"/>
    <col min="3331" max="3331" width="14.5" style="128" bestFit="1" customWidth="1"/>
    <col min="3332" max="3332" width="7.08203125" style="128" bestFit="1" customWidth="1"/>
    <col min="3333" max="3333" width="8.58203125" style="128" bestFit="1" customWidth="1"/>
    <col min="3334" max="3334" width="5" style="128" bestFit="1" customWidth="1"/>
    <col min="3335" max="3335" width="13.5" style="128" bestFit="1" customWidth="1"/>
    <col min="3336" max="3336" width="12" style="128" customWidth="1"/>
    <col min="3337" max="3579" width="9" style="128"/>
    <col min="3580" max="3580" width="9.83203125" style="128" bestFit="1" customWidth="1"/>
    <col min="3581" max="3581" width="8.33203125" style="128" bestFit="1" customWidth="1"/>
    <col min="3582" max="3582" width="18.58203125" style="128" customWidth="1"/>
    <col min="3583" max="3583" width="17.08203125" style="128" customWidth="1"/>
    <col min="3584" max="3584" width="14.58203125" style="128" bestFit="1" customWidth="1"/>
    <col min="3585" max="3585" width="9" style="128"/>
    <col min="3586" max="3586" width="3.83203125" style="128" customWidth="1"/>
    <col min="3587" max="3587" width="14.5" style="128" bestFit="1" customWidth="1"/>
    <col min="3588" max="3588" width="7.08203125" style="128" bestFit="1" customWidth="1"/>
    <col min="3589" max="3589" width="8.58203125" style="128" bestFit="1" customWidth="1"/>
    <col min="3590" max="3590" width="5" style="128" bestFit="1" customWidth="1"/>
    <col min="3591" max="3591" width="13.5" style="128" bestFit="1" customWidth="1"/>
    <col min="3592" max="3592" width="12" style="128" customWidth="1"/>
    <col min="3593" max="3835" width="9" style="128"/>
    <col min="3836" max="3836" width="9.83203125" style="128" bestFit="1" customWidth="1"/>
    <col min="3837" max="3837" width="8.33203125" style="128" bestFit="1" customWidth="1"/>
    <col min="3838" max="3838" width="18.58203125" style="128" customWidth="1"/>
    <col min="3839" max="3839" width="17.08203125" style="128" customWidth="1"/>
    <col min="3840" max="3840" width="14.58203125" style="128" bestFit="1" customWidth="1"/>
    <col min="3841" max="3841" width="9" style="128"/>
    <col min="3842" max="3842" width="3.83203125" style="128" customWidth="1"/>
    <col min="3843" max="3843" width="14.5" style="128" bestFit="1" customWidth="1"/>
    <col min="3844" max="3844" width="7.08203125" style="128" bestFit="1" customWidth="1"/>
    <col min="3845" max="3845" width="8.58203125" style="128" bestFit="1" customWidth="1"/>
    <col min="3846" max="3846" width="5" style="128" bestFit="1" customWidth="1"/>
    <col min="3847" max="3847" width="13.5" style="128" bestFit="1" customWidth="1"/>
    <col min="3848" max="3848" width="12" style="128" customWidth="1"/>
    <col min="3849" max="4091" width="9" style="128"/>
    <col min="4092" max="4092" width="9.83203125" style="128" bestFit="1" customWidth="1"/>
    <col min="4093" max="4093" width="8.33203125" style="128" bestFit="1" customWidth="1"/>
    <col min="4094" max="4094" width="18.58203125" style="128" customWidth="1"/>
    <col min="4095" max="4095" width="17.08203125" style="128" customWidth="1"/>
    <col min="4096" max="4096" width="14.58203125" style="128" bestFit="1" customWidth="1"/>
    <col min="4097" max="4097" width="9" style="128"/>
    <col min="4098" max="4098" width="3.83203125" style="128" customWidth="1"/>
    <col min="4099" max="4099" width="14.5" style="128" bestFit="1" customWidth="1"/>
    <col min="4100" max="4100" width="7.08203125" style="128" bestFit="1" customWidth="1"/>
    <col min="4101" max="4101" width="8.58203125" style="128" bestFit="1" customWidth="1"/>
    <col min="4102" max="4102" width="5" style="128" bestFit="1" customWidth="1"/>
    <col min="4103" max="4103" width="13.5" style="128" bestFit="1" customWidth="1"/>
    <col min="4104" max="4104" width="12" style="128" customWidth="1"/>
    <col min="4105" max="4347" width="9" style="128"/>
    <col min="4348" max="4348" width="9.83203125" style="128" bestFit="1" customWidth="1"/>
    <col min="4349" max="4349" width="8.33203125" style="128" bestFit="1" customWidth="1"/>
    <col min="4350" max="4350" width="18.58203125" style="128" customWidth="1"/>
    <col min="4351" max="4351" width="17.08203125" style="128" customWidth="1"/>
    <col min="4352" max="4352" width="14.58203125" style="128" bestFit="1" customWidth="1"/>
    <col min="4353" max="4353" width="9" style="128"/>
    <col min="4354" max="4354" width="3.83203125" style="128" customWidth="1"/>
    <col min="4355" max="4355" width="14.5" style="128" bestFit="1" customWidth="1"/>
    <col min="4356" max="4356" width="7.08203125" style="128" bestFit="1" customWidth="1"/>
    <col min="4357" max="4357" width="8.58203125" style="128" bestFit="1" customWidth="1"/>
    <col min="4358" max="4358" width="5" style="128" bestFit="1" customWidth="1"/>
    <col min="4359" max="4359" width="13.5" style="128" bestFit="1" customWidth="1"/>
    <col min="4360" max="4360" width="12" style="128" customWidth="1"/>
    <col min="4361" max="4603" width="9" style="128"/>
    <col min="4604" max="4604" width="9.83203125" style="128" bestFit="1" customWidth="1"/>
    <col min="4605" max="4605" width="8.33203125" style="128" bestFit="1" customWidth="1"/>
    <col min="4606" max="4606" width="18.58203125" style="128" customWidth="1"/>
    <col min="4607" max="4607" width="17.08203125" style="128" customWidth="1"/>
    <col min="4608" max="4608" width="14.58203125" style="128" bestFit="1" customWidth="1"/>
    <col min="4609" max="4609" width="9" style="128"/>
    <col min="4610" max="4610" width="3.83203125" style="128" customWidth="1"/>
    <col min="4611" max="4611" width="14.5" style="128" bestFit="1" customWidth="1"/>
    <col min="4612" max="4612" width="7.08203125" style="128" bestFit="1" customWidth="1"/>
    <col min="4613" max="4613" width="8.58203125" style="128" bestFit="1" customWidth="1"/>
    <col min="4614" max="4614" width="5" style="128" bestFit="1" customWidth="1"/>
    <col min="4615" max="4615" width="13.5" style="128" bestFit="1" customWidth="1"/>
    <col min="4616" max="4616" width="12" style="128" customWidth="1"/>
    <col min="4617" max="4859" width="9" style="128"/>
    <col min="4860" max="4860" width="9.83203125" style="128" bestFit="1" customWidth="1"/>
    <col min="4861" max="4861" width="8.33203125" style="128" bestFit="1" customWidth="1"/>
    <col min="4862" max="4862" width="18.58203125" style="128" customWidth="1"/>
    <col min="4863" max="4863" width="17.08203125" style="128" customWidth="1"/>
    <col min="4864" max="4864" width="14.58203125" style="128" bestFit="1" customWidth="1"/>
    <col min="4865" max="4865" width="9" style="128"/>
    <col min="4866" max="4866" width="3.83203125" style="128" customWidth="1"/>
    <col min="4867" max="4867" width="14.5" style="128" bestFit="1" customWidth="1"/>
    <col min="4868" max="4868" width="7.08203125" style="128" bestFit="1" customWidth="1"/>
    <col min="4869" max="4869" width="8.58203125" style="128" bestFit="1" customWidth="1"/>
    <col min="4870" max="4870" width="5" style="128" bestFit="1" customWidth="1"/>
    <col min="4871" max="4871" width="13.5" style="128" bestFit="1" customWidth="1"/>
    <col min="4872" max="4872" width="12" style="128" customWidth="1"/>
    <col min="4873" max="5115" width="9" style="128"/>
    <col min="5116" max="5116" width="9.83203125" style="128" bestFit="1" customWidth="1"/>
    <col min="5117" max="5117" width="8.33203125" style="128" bestFit="1" customWidth="1"/>
    <col min="5118" max="5118" width="18.58203125" style="128" customWidth="1"/>
    <col min="5119" max="5119" width="17.08203125" style="128" customWidth="1"/>
    <col min="5120" max="5120" width="14.58203125" style="128" bestFit="1" customWidth="1"/>
    <col min="5121" max="5121" width="9" style="128"/>
    <col min="5122" max="5122" width="3.83203125" style="128" customWidth="1"/>
    <col min="5123" max="5123" width="14.5" style="128" bestFit="1" customWidth="1"/>
    <col min="5124" max="5124" width="7.08203125" style="128" bestFit="1" customWidth="1"/>
    <col min="5125" max="5125" width="8.58203125" style="128" bestFit="1" customWidth="1"/>
    <col min="5126" max="5126" width="5" style="128" bestFit="1" customWidth="1"/>
    <col min="5127" max="5127" width="13.5" style="128" bestFit="1" customWidth="1"/>
    <col min="5128" max="5128" width="12" style="128" customWidth="1"/>
    <col min="5129" max="5371" width="9" style="128"/>
    <col min="5372" max="5372" width="9.83203125" style="128" bestFit="1" customWidth="1"/>
    <col min="5373" max="5373" width="8.33203125" style="128" bestFit="1" customWidth="1"/>
    <col min="5374" max="5374" width="18.58203125" style="128" customWidth="1"/>
    <col min="5375" max="5375" width="17.08203125" style="128" customWidth="1"/>
    <col min="5376" max="5376" width="14.58203125" style="128" bestFit="1" customWidth="1"/>
    <col min="5377" max="5377" width="9" style="128"/>
    <col min="5378" max="5378" width="3.83203125" style="128" customWidth="1"/>
    <col min="5379" max="5379" width="14.5" style="128" bestFit="1" customWidth="1"/>
    <col min="5380" max="5380" width="7.08203125" style="128" bestFit="1" customWidth="1"/>
    <col min="5381" max="5381" width="8.58203125" style="128" bestFit="1" customWidth="1"/>
    <col min="5382" max="5382" width="5" style="128" bestFit="1" customWidth="1"/>
    <col min="5383" max="5383" width="13.5" style="128" bestFit="1" customWidth="1"/>
    <col min="5384" max="5384" width="12" style="128" customWidth="1"/>
    <col min="5385" max="5627" width="9" style="128"/>
    <col min="5628" max="5628" width="9.83203125" style="128" bestFit="1" customWidth="1"/>
    <col min="5629" max="5629" width="8.33203125" style="128" bestFit="1" customWidth="1"/>
    <col min="5630" max="5630" width="18.58203125" style="128" customWidth="1"/>
    <col min="5631" max="5631" width="17.08203125" style="128" customWidth="1"/>
    <col min="5632" max="5632" width="14.58203125" style="128" bestFit="1" customWidth="1"/>
    <col min="5633" max="5633" width="9" style="128"/>
    <col min="5634" max="5634" width="3.83203125" style="128" customWidth="1"/>
    <col min="5635" max="5635" width="14.5" style="128" bestFit="1" customWidth="1"/>
    <col min="5636" max="5636" width="7.08203125" style="128" bestFit="1" customWidth="1"/>
    <col min="5637" max="5637" width="8.58203125" style="128" bestFit="1" customWidth="1"/>
    <col min="5638" max="5638" width="5" style="128" bestFit="1" customWidth="1"/>
    <col min="5639" max="5639" width="13.5" style="128" bestFit="1" customWidth="1"/>
    <col min="5640" max="5640" width="12" style="128" customWidth="1"/>
    <col min="5641" max="5883" width="9" style="128"/>
    <col min="5884" max="5884" width="9.83203125" style="128" bestFit="1" customWidth="1"/>
    <col min="5885" max="5885" width="8.33203125" style="128" bestFit="1" customWidth="1"/>
    <col min="5886" max="5886" width="18.58203125" style="128" customWidth="1"/>
    <col min="5887" max="5887" width="17.08203125" style="128" customWidth="1"/>
    <col min="5888" max="5888" width="14.58203125" style="128" bestFit="1" customWidth="1"/>
    <col min="5889" max="5889" width="9" style="128"/>
    <col min="5890" max="5890" width="3.83203125" style="128" customWidth="1"/>
    <col min="5891" max="5891" width="14.5" style="128" bestFit="1" customWidth="1"/>
    <col min="5892" max="5892" width="7.08203125" style="128" bestFit="1" customWidth="1"/>
    <col min="5893" max="5893" width="8.58203125" style="128" bestFit="1" customWidth="1"/>
    <col min="5894" max="5894" width="5" style="128" bestFit="1" customWidth="1"/>
    <col min="5895" max="5895" width="13.5" style="128" bestFit="1" customWidth="1"/>
    <col min="5896" max="5896" width="12" style="128" customWidth="1"/>
    <col min="5897" max="6139" width="9" style="128"/>
    <col min="6140" max="6140" width="9.83203125" style="128" bestFit="1" customWidth="1"/>
    <col min="6141" max="6141" width="8.33203125" style="128" bestFit="1" customWidth="1"/>
    <col min="6142" max="6142" width="18.58203125" style="128" customWidth="1"/>
    <col min="6143" max="6143" width="17.08203125" style="128" customWidth="1"/>
    <col min="6144" max="6144" width="14.58203125" style="128" bestFit="1" customWidth="1"/>
    <col min="6145" max="6145" width="9" style="128"/>
    <col min="6146" max="6146" width="3.83203125" style="128" customWidth="1"/>
    <col min="6147" max="6147" width="14.5" style="128" bestFit="1" customWidth="1"/>
    <col min="6148" max="6148" width="7.08203125" style="128" bestFit="1" customWidth="1"/>
    <col min="6149" max="6149" width="8.58203125" style="128" bestFit="1" customWidth="1"/>
    <col min="6150" max="6150" width="5" style="128" bestFit="1" customWidth="1"/>
    <col min="6151" max="6151" width="13.5" style="128" bestFit="1" customWidth="1"/>
    <col min="6152" max="6152" width="12" style="128" customWidth="1"/>
    <col min="6153" max="6395" width="9" style="128"/>
    <col min="6396" max="6396" width="9.83203125" style="128" bestFit="1" customWidth="1"/>
    <col min="6397" max="6397" width="8.33203125" style="128" bestFit="1" customWidth="1"/>
    <col min="6398" max="6398" width="18.58203125" style="128" customWidth="1"/>
    <col min="6399" max="6399" width="17.08203125" style="128" customWidth="1"/>
    <col min="6400" max="6400" width="14.58203125" style="128" bestFit="1" customWidth="1"/>
    <col min="6401" max="6401" width="9" style="128"/>
    <col min="6402" max="6402" width="3.83203125" style="128" customWidth="1"/>
    <col min="6403" max="6403" width="14.5" style="128" bestFit="1" customWidth="1"/>
    <col min="6404" max="6404" width="7.08203125" style="128" bestFit="1" customWidth="1"/>
    <col min="6405" max="6405" width="8.58203125" style="128" bestFit="1" customWidth="1"/>
    <col min="6406" max="6406" width="5" style="128" bestFit="1" customWidth="1"/>
    <col min="6407" max="6407" width="13.5" style="128" bestFit="1" customWidth="1"/>
    <col min="6408" max="6408" width="12" style="128" customWidth="1"/>
    <col min="6409" max="6651" width="9" style="128"/>
    <col min="6652" max="6652" width="9.83203125" style="128" bestFit="1" customWidth="1"/>
    <col min="6653" max="6653" width="8.33203125" style="128" bestFit="1" customWidth="1"/>
    <col min="6654" max="6654" width="18.58203125" style="128" customWidth="1"/>
    <col min="6655" max="6655" width="17.08203125" style="128" customWidth="1"/>
    <col min="6656" max="6656" width="14.58203125" style="128" bestFit="1" customWidth="1"/>
    <col min="6657" max="6657" width="9" style="128"/>
    <col min="6658" max="6658" width="3.83203125" style="128" customWidth="1"/>
    <col min="6659" max="6659" width="14.5" style="128" bestFit="1" customWidth="1"/>
    <col min="6660" max="6660" width="7.08203125" style="128" bestFit="1" customWidth="1"/>
    <col min="6661" max="6661" width="8.58203125" style="128" bestFit="1" customWidth="1"/>
    <col min="6662" max="6662" width="5" style="128" bestFit="1" customWidth="1"/>
    <col min="6663" max="6663" width="13.5" style="128" bestFit="1" customWidth="1"/>
    <col min="6664" max="6664" width="12" style="128" customWidth="1"/>
    <col min="6665" max="6907" width="9" style="128"/>
    <col min="6908" max="6908" width="9.83203125" style="128" bestFit="1" customWidth="1"/>
    <col min="6909" max="6909" width="8.33203125" style="128" bestFit="1" customWidth="1"/>
    <col min="6910" max="6910" width="18.58203125" style="128" customWidth="1"/>
    <col min="6911" max="6911" width="17.08203125" style="128" customWidth="1"/>
    <col min="6912" max="6912" width="14.58203125" style="128" bestFit="1" customWidth="1"/>
    <col min="6913" max="6913" width="9" style="128"/>
    <col min="6914" max="6914" width="3.83203125" style="128" customWidth="1"/>
    <col min="6915" max="6915" width="14.5" style="128" bestFit="1" customWidth="1"/>
    <col min="6916" max="6916" width="7.08203125" style="128" bestFit="1" customWidth="1"/>
    <col min="6917" max="6917" width="8.58203125" style="128" bestFit="1" customWidth="1"/>
    <col min="6918" max="6918" width="5" style="128" bestFit="1" customWidth="1"/>
    <col min="6919" max="6919" width="13.5" style="128" bestFit="1" customWidth="1"/>
    <col min="6920" max="6920" width="12" style="128" customWidth="1"/>
    <col min="6921" max="7163" width="9" style="128"/>
    <col min="7164" max="7164" width="9.83203125" style="128" bestFit="1" customWidth="1"/>
    <col min="7165" max="7165" width="8.33203125" style="128" bestFit="1" customWidth="1"/>
    <col min="7166" max="7166" width="18.58203125" style="128" customWidth="1"/>
    <col min="7167" max="7167" width="17.08203125" style="128" customWidth="1"/>
    <col min="7168" max="7168" width="14.58203125" style="128" bestFit="1" customWidth="1"/>
    <col min="7169" max="7169" width="9" style="128"/>
    <col min="7170" max="7170" width="3.83203125" style="128" customWidth="1"/>
    <col min="7171" max="7171" width="14.5" style="128" bestFit="1" customWidth="1"/>
    <col min="7172" max="7172" width="7.08203125" style="128" bestFit="1" customWidth="1"/>
    <col min="7173" max="7173" width="8.58203125" style="128" bestFit="1" customWidth="1"/>
    <col min="7174" max="7174" width="5" style="128" bestFit="1" customWidth="1"/>
    <col min="7175" max="7175" width="13.5" style="128" bestFit="1" customWidth="1"/>
    <col min="7176" max="7176" width="12" style="128" customWidth="1"/>
    <col min="7177" max="7419" width="9" style="128"/>
    <col min="7420" max="7420" width="9.83203125" style="128" bestFit="1" customWidth="1"/>
    <col min="7421" max="7421" width="8.33203125" style="128" bestFit="1" customWidth="1"/>
    <col min="7422" max="7422" width="18.58203125" style="128" customWidth="1"/>
    <col min="7423" max="7423" width="17.08203125" style="128" customWidth="1"/>
    <col min="7424" max="7424" width="14.58203125" style="128" bestFit="1" customWidth="1"/>
    <col min="7425" max="7425" width="9" style="128"/>
    <col min="7426" max="7426" width="3.83203125" style="128" customWidth="1"/>
    <col min="7427" max="7427" width="14.5" style="128" bestFit="1" customWidth="1"/>
    <col min="7428" max="7428" width="7.08203125" style="128" bestFit="1" customWidth="1"/>
    <col min="7429" max="7429" width="8.58203125" style="128" bestFit="1" customWidth="1"/>
    <col min="7430" max="7430" width="5" style="128" bestFit="1" customWidth="1"/>
    <col min="7431" max="7431" width="13.5" style="128" bestFit="1" customWidth="1"/>
    <col min="7432" max="7432" width="12" style="128" customWidth="1"/>
    <col min="7433" max="7675" width="9" style="128"/>
    <col min="7676" max="7676" width="9.83203125" style="128" bestFit="1" customWidth="1"/>
    <col min="7677" max="7677" width="8.33203125" style="128" bestFit="1" customWidth="1"/>
    <col min="7678" max="7678" width="18.58203125" style="128" customWidth="1"/>
    <col min="7679" max="7679" width="17.08203125" style="128" customWidth="1"/>
    <col min="7680" max="7680" width="14.58203125" style="128" bestFit="1" customWidth="1"/>
    <col min="7681" max="7681" width="9" style="128"/>
    <col min="7682" max="7682" width="3.83203125" style="128" customWidth="1"/>
    <col min="7683" max="7683" width="14.5" style="128" bestFit="1" customWidth="1"/>
    <col min="7684" max="7684" width="7.08203125" style="128" bestFit="1" customWidth="1"/>
    <col min="7685" max="7685" width="8.58203125" style="128" bestFit="1" customWidth="1"/>
    <col min="7686" max="7686" width="5" style="128" bestFit="1" customWidth="1"/>
    <col min="7687" max="7687" width="13.5" style="128" bestFit="1" customWidth="1"/>
    <col min="7688" max="7688" width="12" style="128" customWidth="1"/>
    <col min="7689" max="7931" width="9" style="128"/>
    <col min="7932" max="7932" width="9.83203125" style="128" bestFit="1" customWidth="1"/>
    <col min="7933" max="7933" width="8.33203125" style="128" bestFit="1" customWidth="1"/>
    <col min="7934" max="7934" width="18.58203125" style="128" customWidth="1"/>
    <col min="7935" max="7935" width="17.08203125" style="128" customWidth="1"/>
    <col min="7936" max="7936" width="14.58203125" style="128" bestFit="1" customWidth="1"/>
    <col min="7937" max="7937" width="9" style="128"/>
    <col min="7938" max="7938" width="3.83203125" style="128" customWidth="1"/>
    <col min="7939" max="7939" width="14.5" style="128" bestFit="1" customWidth="1"/>
    <col min="7940" max="7940" width="7.08203125" style="128" bestFit="1" customWidth="1"/>
    <col min="7941" max="7941" width="8.58203125" style="128" bestFit="1" customWidth="1"/>
    <col min="7942" max="7942" width="5" style="128" bestFit="1" customWidth="1"/>
    <col min="7943" max="7943" width="13.5" style="128" bestFit="1" customWidth="1"/>
    <col min="7944" max="7944" width="12" style="128" customWidth="1"/>
    <col min="7945" max="8187" width="9" style="128"/>
    <col min="8188" max="8188" width="9.83203125" style="128" bestFit="1" customWidth="1"/>
    <col min="8189" max="8189" width="8.33203125" style="128" bestFit="1" customWidth="1"/>
    <col min="8190" max="8190" width="18.58203125" style="128" customWidth="1"/>
    <col min="8191" max="8191" width="17.08203125" style="128" customWidth="1"/>
    <col min="8192" max="8192" width="14.58203125" style="128" bestFit="1" customWidth="1"/>
    <col min="8193" max="8193" width="9" style="128"/>
    <col min="8194" max="8194" width="3.83203125" style="128" customWidth="1"/>
    <col min="8195" max="8195" width="14.5" style="128" bestFit="1" customWidth="1"/>
    <col min="8196" max="8196" width="7.08203125" style="128" bestFit="1" customWidth="1"/>
    <col min="8197" max="8197" width="8.58203125" style="128" bestFit="1" customWidth="1"/>
    <col min="8198" max="8198" width="5" style="128" bestFit="1" customWidth="1"/>
    <col min="8199" max="8199" width="13.5" style="128" bestFit="1" customWidth="1"/>
    <col min="8200" max="8200" width="12" style="128" customWidth="1"/>
    <col min="8201" max="8443" width="9" style="128"/>
    <col min="8444" max="8444" width="9.83203125" style="128" bestFit="1" customWidth="1"/>
    <col min="8445" max="8445" width="8.33203125" style="128" bestFit="1" customWidth="1"/>
    <col min="8446" max="8446" width="18.58203125" style="128" customWidth="1"/>
    <col min="8447" max="8447" width="17.08203125" style="128" customWidth="1"/>
    <col min="8448" max="8448" width="14.58203125" style="128" bestFit="1" customWidth="1"/>
    <col min="8449" max="8449" width="9" style="128"/>
    <col min="8450" max="8450" width="3.83203125" style="128" customWidth="1"/>
    <col min="8451" max="8451" width="14.5" style="128" bestFit="1" customWidth="1"/>
    <col min="8452" max="8452" width="7.08203125" style="128" bestFit="1" customWidth="1"/>
    <col min="8453" max="8453" width="8.58203125" style="128" bestFit="1" customWidth="1"/>
    <col min="8454" max="8454" width="5" style="128" bestFit="1" customWidth="1"/>
    <col min="8455" max="8455" width="13.5" style="128" bestFit="1" customWidth="1"/>
    <col min="8456" max="8456" width="12" style="128" customWidth="1"/>
    <col min="8457" max="8699" width="9" style="128"/>
    <col min="8700" max="8700" width="9.83203125" style="128" bestFit="1" customWidth="1"/>
    <col min="8701" max="8701" width="8.33203125" style="128" bestFit="1" customWidth="1"/>
    <col min="8702" max="8702" width="18.58203125" style="128" customWidth="1"/>
    <col min="8703" max="8703" width="17.08203125" style="128" customWidth="1"/>
    <col min="8704" max="8704" width="14.58203125" style="128" bestFit="1" customWidth="1"/>
    <col min="8705" max="8705" width="9" style="128"/>
    <col min="8706" max="8706" width="3.83203125" style="128" customWidth="1"/>
    <col min="8707" max="8707" width="14.5" style="128" bestFit="1" customWidth="1"/>
    <col min="8708" max="8708" width="7.08203125" style="128" bestFit="1" customWidth="1"/>
    <col min="8709" max="8709" width="8.58203125" style="128" bestFit="1" customWidth="1"/>
    <col min="8710" max="8710" width="5" style="128" bestFit="1" customWidth="1"/>
    <col min="8711" max="8711" width="13.5" style="128" bestFit="1" customWidth="1"/>
    <col min="8712" max="8712" width="12" style="128" customWidth="1"/>
    <col min="8713" max="8955" width="9" style="128"/>
    <col min="8956" max="8956" width="9.83203125" style="128" bestFit="1" customWidth="1"/>
    <col min="8957" max="8957" width="8.33203125" style="128" bestFit="1" customWidth="1"/>
    <col min="8958" max="8958" width="18.58203125" style="128" customWidth="1"/>
    <col min="8959" max="8959" width="17.08203125" style="128" customWidth="1"/>
    <col min="8960" max="8960" width="14.58203125" style="128" bestFit="1" customWidth="1"/>
    <col min="8961" max="8961" width="9" style="128"/>
    <col min="8962" max="8962" width="3.83203125" style="128" customWidth="1"/>
    <col min="8963" max="8963" width="14.5" style="128" bestFit="1" customWidth="1"/>
    <col min="8964" max="8964" width="7.08203125" style="128" bestFit="1" customWidth="1"/>
    <col min="8965" max="8965" width="8.58203125" style="128" bestFit="1" customWidth="1"/>
    <col min="8966" max="8966" width="5" style="128" bestFit="1" customWidth="1"/>
    <col min="8967" max="8967" width="13.5" style="128" bestFit="1" customWidth="1"/>
    <col min="8968" max="8968" width="12" style="128" customWidth="1"/>
    <col min="8969" max="9211" width="9" style="128"/>
    <col min="9212" max="9212" width="9.83203125" style="128" bestFit="1" customWidth="1"/>
    <col min="9213" max="9213" width="8.33203125" style="128" bestFit="1" customWidth="1"/>
    <col min="9214" max="9214" width="18.58203125" style="128" customWidth="1"/>
    <col min="9215" max="9215" width="17.08203125" style="128" customWidth="1"/>
    <col min="9216" max="9216" width="14.58203125" style="128" bestFit="1" customWidth="1"/>
    <col min="9217" max="9217" width="9" style="128"/>
    <col min="9218" max="9218" width="3.83203125" style="128" customWidth="1"/>
    <col min="9219" max="9219" width="14.5" style="128" bestFit="1" customWidth="1"/>
    <col min="9220" max="9220" width="7.08203125" style="128" bestFit="1" customWidth="1"/>
    <col min="9221" max="9221" width="8.58203125" style="128" bestFit="1" customWidth="1"/>
    <col min="9222" max="9222" width="5" style="128" bestFit="1" customWidth="1"/>
    <col min="9223" max="9223" width="13.5" style="128" bestFit="1" customWidth="1"/>
    <col min="9224" max="9224" width="12" style="128" customWidth="1"/>
    <col min="9225" max="9467" width="9" style="128"/>
    <col min="9468" max="9468" width="9.83203125" style="128" bestFit="1" customWidth="1"/>
    <col min="9469" max="9469" width="8.33203125" style="128" bestFit="1" customWidth="1"/>
    <col min="9470" max="9470" width="18.58203125" style="128" customWidth="1"/>
    <col min="9471" max="9471" width="17.08203125" style="128" customWidth="1"/>
    <col min="9472" max="9472" width="14.58203125" style="128" bestFit="1" customWidth="1"/>
    <col min="9473" max="9473" width="9" style="128"/>
    <col min="9474" max="9474" width="3.83203125" style="128" customWidth="1"/>
    <col min="9475" max="9475" width="14.5" style="128" bestFit="1" customWidth="1"/>
    <col min="9476" max="9476" width="7.08203125" style="128" bestFit="1" customWidth="1"/>
    <col min="9477" max="9477" width="8.58203125" style="128" bestFit="1" customWidth="1"/>
    <col min="9478" max="9478" width="5" style="128" bestFit="1" customWidth="1"/>
    <col min="9479" max="9479" width="13.5" style="128" bestFit="1" customWidth="1"/>
    <col min="9480" max="9480" width="12" style="128" customWidth="1"/>
    <col min="9481" max="9723" width="9" style="128"/>
    <col min="9724" max="9724" width="9.83203125" style="128" bestFit="1" customWidth="1"/>
    <col min="9725" max="9725" width="8.33203125" style="128" bestFit="1" customWidth="1"/>
    <col min="9726" max="9726" width="18.58203125" style="128" customWidth="1"/>
    <col min="9727" max="9727" width="17.08203125" style="128" customWidth="1"/>
    <col min="9728" max="9728" width="14.58203125" style="128" bestFit="1" customWidth="1"/>
    <col min="9729" max="9729" width="9" style="128"/>
    <col min="9730" max="9730" width="3.83203125" style="128" customWidth="1"/>
    <col min="9731" max="9731" width="14.5" style="128" bestFit="1" customWidth="1"/>
    <col min="9732" max="9732" width="7.08203125" style="128" bestFit="1" customWidth="1"/>
    <col min="9733" max="9733" width="8.58203125" style="128" bestFit="1" customWidth="1"/>
    <col min="9734" max="9734" width="5" style="128" bestFit="1" customWidth="1"/>
    <col min="9735" max="9735" width="13.5" style="128" bestFit="1" customWidth="1"/>
    <col min="9736" max="9736" width="12" style="128" customWidth="1"/>
    <col min="9737" max="9979" width="9" style="128"/>
    <col min="9980" max="9980" width="9.83203125" style="128" bestFit="1" customWidth="1"/>
    <col min="9981" max="9981" width="8.33203125" style="128" bestFit="1" customWidth="1"/>
    <col min="9982" max="9982" width="18.58203125" style="128" customWidth="1"/>
    <col min="9983" max="9983" width="17.08203125" style="128" customWidth="1"/>
    <col min="9984" max="9984" width="14.58203125" style="128" bestFit="1" customWidth="1"/>
    <col min="9985" max="9985" width="9" style="128"/>
    <col min="9986" max="9986" width="3.83203125" style="128" customWidth="1"/>
    <col min="9987" max="9987" width="14.5" style="128" bestFit="1" customWidth="1"/>
    <col min="9988" max="9988" width="7.08203125" style="128" bestFit="1" customWidth="1"/>
    <col min="9989" max="9989" width="8.58203125" style="128" bestFit="1" customWidth="1"/>
    <col min="9990" max="9990" width="5" style="128" bestFit="1" customWidth="1"/>
    <col min="9991" max="9991" width="13.5" style="128" bestFit="1" customWidth="1"/>
    <col min="9992" max="9992" width="12" style="128" customWidth="1"/>
    <col min="9993" max="10235" width="9" style="128"/>
    <col min="10236" max="10236" width="9.83203125" style="128" bestFit="1" customWidth="1"/>
    <col min="10237" max="10237" width="8.33203125" style="128" bestFit="1" customWidth="1"/>
    <col min="10238" max="10238" width="18.58203125" style="128" customWidth="1"/>
    <col min="10239" max="10239" width="17.08203125" style="128" customWidth="1"/>
    <col min="10240" max="10240" width="14.58203125" style="128" bestFit="1" customWidth="1"/>
    <col min="10241" max="10241" width="9" style="128"/>
    <col min="10242" max="10242" width="3.83203125" style="128" customWidth="1"/>
    <col min="10243" max="10243" width="14.5" style="128" bestFit="1" customWidth="1"/>
    <col min="10244" max="10244" width="7.08203125" style="128" bestFit="1" customWidth="1"/>
    <col min="10245" max="10245" width="8.58203125" style="128" bestFit="1" customWidth="1"/>
    <col min="10246" max="10246" width="5" style="128" bestFit="1" customWidth="1"/>
    <col min="10247" max="10247" width="13.5" style="128" bestFit="1" customWidth="1"/>
    <col min="10248" max="10248" width="12" style="128" customWidth="1"/>
    <col min="10249" max="10491" width="9" style="128"/>
    <col min="10492" max="10492" width="9.83203125" style="128" bestFit="1" customWidth="1"/>
    <col min="10493" max="10493" width="8.33203125" style="128" bestFit="1" customWidth="1"/>
    <col min="10494" max="10494" width="18.58203125" style="128" customWidth="1"/>
    <col min="10495" max="10495" width="17.08203125" style="128" customWidth="1"/>
    <col min="10496" max="10496" width="14.58203125" style="128" bestFit="1" customWidth="1"/>
    <col min="10497" max="10497" width="9" style="128"/>
    <col min="10498" max="10498" width="3.83203125" style="128" customWidth="1"/>
    <col min="10499" max="10499" width="14.5" style="128" bestFit="1" customWidth="1"/>
    <col min="10500" max="10500" width="7.08203125" style="128" bestFit="1" customWidth="1"/>
    <col min="10501" max="10501" width="8.58203125" style="128" bestFit="1" customWidth="1"/>
    <col min="10502" max="10502" width="5" style="128" bestFit="1" customWidth="1"/>
    <col min="10503" max="10503" width="13.5" style="128" bestFit="1" customWidth="1"/>
    <col min="10504" max="10504" width="12" style="128" customWidth="1"/>
    <col min="10505" max="10747" width="9" style="128"/>
    <col min="10748" max="10748" width="9.83203125" style="128" bestFit="1" customWidth="1"/>
    <col min="10749" max="10749" width="8.33203125" style="128" bestFit="1" customWidth="1"/>
    <col min="10750" max="10750" width="18.58203125" style="128" customWidth="1"/>
    <col min="10751" max="10751" width="17.08203125" style="128" customWidth="1"/>
    <col min="10752" max="10752" width="14.58203125" style="128" bestFit="1" customWidth="1"/>
    <col min="10753" max="10753" width="9" style="128"/>
    <col min="10754" max="10754" width="3.83203125" style="128" customWidth="1"/>
    <col min="10755" max="10755" width="14.5" style="128" bestFit="1" customWidth="1"/>
    <col min="10756" max="10756" width="7.08203125" style="128" bestFit="1" customWidth="1"/>
    <col min="10757" max="10757" width="8.58203125" style="128" bestFit="1" customWidth="1"/>
    <col min="10758" max="10758" width="5" style="128" bestFit="1" customWidth="1"/>
    <col min="10759" max="10759" width="13.5" style="128" bestFit="1" customWidth="1"/>
    <col min="10760" max="10760" width="12" style="128" customWidth="1"/>
    <col min="10761" max="11003" width="9" style="128"/>
    <col min="11004" max="11004" width="9.83203125" style="128" bestFit="1" customWidth="1"/>
    <col min="11005" max="11005" width="8.33203125" style="128" bestFit="1" customWidth="1"/>
    <col min="11006" max="11006" width="18.58203125" style="128" customWidth="1"/>
    <col min="11007" max="11007" width="17.08203125" style="128" customWidth="1"/>
    <col min="11008" max="11008" width="14.58203125" style="128" bestFit="1" customWidth="1"/>
    <col min="11009" max="11009" width="9" style="128"/>
    <col min="11010" max="11010" width="3.83203125" style="128" customWidth="1"/>
    <col min="11011" max="11011" width="14.5" style="128" bestFit="1" customWidth="1"/>
    <col min="11012" max="11012" width="7.08203125" style="128" bestFit="1" customWidth="1"/>
    <col min="11013" max="11013" width="8.58203125" style="128" bestFit="1" customWidth="1"/>
    <col min="11014" max="11014" width="5" style="128" bestFit="1" customWidth="1"/>
    <col min="11015" max="11015" width="13.5" style="128" bestFit="1" customWidth="1"/>
    <col min="11016" max="11016" width="12" style="128" customWidth="1"/>
    <col min="11017" max="11259" width="9" style="128"/>
    <col min="11260" max="11260" width="9.83203125" style="128" bestFit="1" customWidth="1"/>
    <col min="11261" max="11261" width="8.33203125" style="128" bestFit="1" customWidth="1"/>
    <col min="11262" max="11262" width="18.58203125" style="128" customWidth="1"/>
    <col min="11263" max="11263" width="17.08203125" style="128" customWidth="1"/>
    <col min="11264" max="11264" width="14.58203125" style="128" bestFit="1" customWidth="1"/>
    <col min="11265" max="11265" width="9" style="128"/>
    <col min="11266" max="11266" width="3.83203125" style="128" customWidth="1"/>
    <col min="11267" max="11267" width="14.5" style="128" bestFit="1" customWidth="1"/>
    <col min="11268" max="11268" width="7.08203125" style="128" bestFit="1" customWidth="1"/>
    <col min="11269" max="11269" width="8.58203125" style="128" bestFit="1" customWidth="1"/>
    <col min="11270" max="11270" width="5" style="128" bestFit="1" customWidth="1"/>
    <col min="11271" max="11271" width="13.5" style="128" bestFit="1" customWidth="1"/>
    <col min="11272" max="11272" width="12" style="128" customWidth="1"/>
    <col min="11273" max="11515" width="9" style="128"/>
    <col min="11516" max="11516" width="9.83203125" style="128" bestFit="1" customWidth="1"/>
    <col min="11517" max="11517" width="8.33203125" style="128" bestFit="1" customWidth="1"/>
    <col min="11518" max="11518" width="18.58203125" style="128" customWidth="1"/>
    <col min="11519" max="11519" width="17.08203125" style="128" customWidth="1"/>
    <col min="11520" max="11520" width="14.58203125" style="128" bestFit="1" customWidth="1"/>
    <col min="11521" max="11521" width="9" style="128"/>
    <col min="11522" max="11522" width="3.83203125" style="128" customWidth="1"/>
    <col min="11523" max="11523" width="14.5" style="128" bestFit="1" customWidth="1"/>
    <col min="11524" max="11524" width="7.08203125" style="128" bestFit="1" customWidth="1"/>
    <col min="11525" max="11525" width="8.58203125" style="128" bestFit="1" customWidth="1"/>
    <col min="11526" max="11526" width="5" style="128" bestFit="1" customWidth="1"/>
    <col min="11527" max="11527" width="13.5" style="128" bestFit="1" customWidth="1"/>
    <col min="11528" max="11528" width="12" style="128" customWidth="1"/>
    <col min="11529" max="11771" width="9" style="128"/>
    <col min="11772" max="11772" width="9.83203125" style="128" bestFit="1" customWidth="1"/>
    <col min="11773" max="11773" width="8.33203125" style="128" bestFit="1" customWidth="1"/>
    <col min="11774" max="11774" width="18.58203125" style="128" customWidth="1"/>
    <col min="11775" max="11775" width="17.08203125" style="128" customWidth="1"/>
    <col min="11776" max="11776" width="14.58203125" style="128" bestFit="1" customWidth="1"/>
    <col min="11777" max="11777" width="9" style="128"/>
    <col min="11778" max="11778" width="3.83203125" style="128" customWidth="1"/>
    <col min="11779" max="11779" width="14.5" style="128" bestFit="1" customWidth="1"/>
    <col min="11780" max="11780" width="7.08203125" style="128" bestFit="1" customWidth="1"/>
    <col min="11781" max="11781" width="8.58203125" style="128" bestFit="1" customWidth="1"/>
    <col min="11782" max="11782" width="5" style="128" bestFit="1" customWidth="1"/>
    <col min="11783" max="11783" width="13.5" style="128" bestFit="1" customWidth="1"/>
    <col min="11784" max="11784" width="12" style="128" customWidth="1"/>
    <col min="11785" max="12027" width="9" style="128"/>
    <col min="12028" max="12028" width="9.83203125" style="128" bestFit="1" customWidth="1"/>
    <col min="12029" max="12029" width="8.33203125" style="128" bestFit="1" customWidth="1"/>
    <col min="12030" max="12030" width="18.58203125" style="128" customWidth="1"/>
    <col min="12031" max="12031" width="17.08203125" style="128" customWidth="1"/>
    <col min="12032" max="12032" width="14.58203125" style="128" bestFit="1" customWidth="1"/>
    <col min="12033" max="12033" width="9" style="128"/>
    <col min="12034" max="12034" width="3.83203125" style="128" customWidth="1"/>
    <col min="12035" max="12035" width="14.5" style="128" bestFit="1" customWidth="1"/>
    <col min="12036" max="12036" width="7.08203125" style="128" bestFit="1" customWidth="1"/>
    <col min="12037" max="12037" width="8.58203125" style="128" bestFit="1" customWidth="1"/>
    <col min="12038" max="12038" width="5" style="128" bestFit="1" customWidth="1"/>
    <col min="12039" max="12039" width="13.5" style="128" bestFit="1" customWidth="1"/>
    <col min="12040" max="12040" width="12" style="128" customWidth="1"/>
    <col min="12041" max="12283" width="9" style="128"/>
    <col min="12284" max="12284" width="9.83203125" style="128" bestFit="1" customWidth="1"/>
    <col min="12285" max="12285" width="8.33203125" style="128" bestFit="1" customWidth="1"/>
    <col min="12286" max="12286" width="18.58203125" style="128" customWidth="1"/>
    <col min="12287" max="12287" width="17.08203125" style="128" customWidth="1"/>
    <col min="12288" max="12288" width="14.58203125" style="128" bestFit="1" customWidth="1"/>
    <col min="12289" max="12289" width="9" style="128"/>
    <col min="12290" max="12290" width="3.83203125" style="128" customWidth="1"/>
    <col min="12291" max="12291" width="14.5" style="128" bestFit="1" customWidth="1"/>
    <col min="12292" max="12292" width="7.08203125" style="128" bestFit="1" customWidth="1"/>
    <col min="12293" max="12293" width="8.58203125" style="128" bestFit="1" customWidth="1"/>
    <col min="12294" max="12294" width="5" style="128" bestFit="1" customWidth="1"/>
    <col min="12295" max="12295" width="13.5" style="128" bestFit="1" customWidth="1"/>
    <col min="12296" max="12296" width="12" style="128" customWidth="1"/>
    <col min="12297" max="12539" width="9" style="128"/>
    <col min="12540" max="12540" width="9.83203125" style="128" bestFit="1" customWidth="1"/>
    <col min="12541" max="12541" width="8.33203125" style="128" bestFit="1" customWidth="1"/>
    <col min="12542" max="12542" width="18.58203125" style="128" customWidth="1"/>
    <col min="12543" max="12543" width="17.08203125" style="128" customWidth="1"/>
    <col min="12544" max="12544" width="14.58203125" style="128" bestFit="1" customWidth="1"/>
    <col min="12545" max="12545" width="9" style="128"/>
    <col min="12546" max="12546" width="3.83203125" style="128" customWidth="1"/>
    <col min="12547" max="12547" width="14.5" style="128" bestFit="1" customWidth="1"/>
    <col min="12548" max="12548" width="7.08203125" style="128" bestFit="1" customWidth="1"/>
    <col min="12549" max="12549" width="8.58203125" style="128" bestFit="1" customWidth="1"/>
    <col min="12550" max="12550" width="5" style="128" bestFit="1" customWidth="1"/>
    <col min="12551" max="12551" width="13.5" style="128" bestFit="1" customWidth="1"/>
    <col min="12552" max="12552" width="12" style="128" customWidth="1"/>
    <col min="12553" max="12795" width="9" style="128"/>
    <col min="12796" max="12796" width="9.83203125" style="128" bestFit="1" customWidth="1"/>
    <col min="12797" max="12797" width="8.33203125" style="128" bestFit="1" customWidth="1"/>
    <col min="12798" max="12798" width="18.58203125" style="128" customWidth="1"/>
    <col min="12799" max="12799" width="17.08203125" style="128" customWidth="1"/>
    <col min="12800" max="12800" width="14.58203125" style="128" bestFit="1" customWidth="1"/>
    <col min="12801" max="12801" width="9" style="128"/>
    <col min="12802" max="12802" width="3.83203125" style="128" customWidth="1"/>
    <col min="12803" max="12803" width="14.5" style="128" bestFit="1" customWidth="1"/>
    <col min="12804" max="12804" width="7.08203125" style="128" bestFit="1" customWidth="1"/>
    <col min="12805" max="12805" width="8.58203125" style="128" bestFit="1" customWidth="1"/>
    <col min="12806" max="12806" width="5" style="128" bestFit="1" customWidth="1"/>
    <col min="12807" max="12807" width="13.5" style="128" bestFit="1" customWidth="1"/>
    <col min="12808" max="12808" width="12" style="128" customWidth="1"/>
    <col min="12809" max="13051" width="9" style="128"/>
    <col min="13052" max="13052" width="9.83203125" style="128" bestFit="1" customWidth="1"/>
    <col min="13053" max="13053" width="8.33203125" style="128" bestFit="1" customWidth="1"/>
    <col min="13054" max="13054" width="18.58203125" style="128" customWidth="1"/>
    <col min="13055" max="13055" width="17.08203125" style="128" customWidth="1"/>
    <col min="13056" max="13056" width="14.58203125" style="128" bestFit="1" customWidth="1"/>
    <col min="13057" max="13057" width="9" style="128"/>
    <col min="13058" max="13058" width="3.83203125" style="128" customWidth="1"/>
    <col min="13059" max="13059" width="14.5" style="128" bestFit="1" customWidth="1"/>
    <col min="13060" max="13060" width="7.08203125" style="128" bestFit="1" customWidth="1"/>
    <col min="13061" max="13061" width="8.58203125" style="128" bestFit="1" customWidth="1"/>
    <col min="13062" max="13062" width="5" style="128" bestFit="1" customWidth="1"/>
    <col min="13063" max="13063" width="13.5" style="128" bestFit="1" customWidth="1"/>
    <col min="13064" max="13064" width="12" style="128" customWidth="1"/>
    <col min="13065" max="13307" width="9" style="128"/>
    <col min="13308" max="13308" width="9.83203125" style="128" bestFit="1" customWidth="1"/>
    <col min="13309" max="13309" width="8.33203125" style="128" bestFit="1" customWidth="1"/>
    <col min="13310" max="13310" width="18.58203125" style="128" customWidth="1"/>
    <col min="13311" max="13311" width="17.08203125" style="128" customWidth="1"/>
    <col min="13312" max="13312" width="14.58203125" style="128" bestFit="1" customWidth="1"/>
    <col min="13313" max="13313" width="9" style="128"/>
    <col min="13314" max="13314" width="3.83203125" style="128" customWidth="1"/>
    <col min="13315" max="13315" width="14.5" style="128" bestFit="1" customWidth="1"/>
    <col min="13316" max="13316" width="7.08203125" style="128" bestFit="1" customWidth="1"/>
    <col min="13317" max="13317" width="8.58203125" style="128" bestFit="1" customWidth="1"/>
    <col min="13318" max="13318" width="5" style="128" bestFit="1" customWidth="1"/>
    <col min="13319" max="13319" width="13.5" style="128" bestFit="1" customWidth="1"/>
    <col min="13320" max="13320" width="12" style="128" customWidth="1"/>
    <col min="13321" max="13563" width="9" style="128"/>
    <col min="13564" max="13564" width="9.83203125" style="128" bestFit="1" customWidth="1"/>
    <col min="13565" max="13565" width="8.33203125" style="128" bestFit="1" customWidth="1"/>
    <col min="13566" max="13566" width="18.58203125" style="128" customWidth="1"/>
    <col min="13567" max="13567" width="17.08203125" style="128" customWidth="1"/>
    <col min="13568" max="13568" width="14.58203125" style="128" bestFit="1" customWidth="1"/>
    <col min="13569" max="13569" width="9" style="128"/>
    <col min="13570" max="13570" width="3.83203125" style="128" customWidth="1"/>
    <col min="13571" max="13571" width="14.5" style="128" bestFit="1" customWidth="1"/>
    <col min="13572" max="13572" width="7.08203125" style="128" bestFit="1" customWidth="1"/>
    <col min="13573" max="13573" width="8.58203125" style="128" bestFit="1" customWidth="1"/>
    <col min="13574" max="13574" width="5" style="128" bestFit="1" customWidth="1"/>
    <col min="13575" max="13575" width="13.5" style="128" bestFit="1" customWidth="1"/>
    <col min="13576" max="13576" width="12" style="128" customWidth="1"/>
    <col min="13577" max="13819" width="9" style="128"/>
    <col min="13820" max="13820" width="9.83203125" style="128" bestFit="1" customWidth="1"/>
    <col min="13821" max="13821" width="8.33203125" style="128" bestFit="1" customWidth="1"/>
    <col min="13822" max="13822" width="18.58203125" style="128" customWidth="1"/>
    <col min="13823" max="13823" width="17.08203125" style="128" customWidth="1"/>
    <col min="13824" max="13824" width="14.58203125" style="128" bestFit="1" customWidth="1"/>
    <col min="13825" max="13825" width="9" style="128"/>
    <col min="13826" max="13826" width="3.83203125" style="128" customWidth="1"/>
    <col min="13827" max="13827" width="14.5" style="128" bestFit="1" customWidth="1"/>
    <col min="13828" max="13828" width="7.08203125" style="128" bestFit="1" customWidth="1"/>
    <col min="13829" max="13829" width="8.58203125" style="128" bestFit="1" customWidth="1"/>
    <col min="13830" max="13830" width="5" style="128" bestFit="1" customWidth="1"/>
    <col min="13831" max="13831" width="13.5" style="128" bestFit="1" customWidth="1"/>
    <col min="13832" max="13832" width="12" style="128" customWidth="1"/>
    <col min="13833" max="14075" width="9" style="128"/>
    <col min="14076" max="14076" width="9.83203125" style="128" bestFit="1" customWidth="1"/>
    <col min="14077" max="14077" width="8.33203125" style="128" bestFit="1" customWidth="1"/>
    <col min="14078" max="14078" width="18.58203125" style="128" customWidth="1"/>
    <col min="14079" max="14079" width="17.08203125" style="128" customWidth="1"/>
    <col min="14080" max="14080" width="14.58203125" style="128" bestFit="1" customWidth="1"/>
    <col min="14081" max="14081" width="9" style="128"/>
    <col min="14082" max="14082" width="3.83203125" style="128" customWidth="1"/>
    <col min="14083" max="14083" width="14.5" style="128" bestFit="1" customWidth="1"/>
    <col min="14084" max="14084" width="7.08203125" style="128" bestFit="1" customWidth="1"/>
    <col min="14085" max="14085" width="8.58203125" style="128" bestFit="1" customWidth="1"/>
    <col min="14086" max="14086" width="5" style="128" bestFit="1" customWidth="1"/>
    <col min="14087" max="14087" width="13.5" style="128" bestFit="1" customWidth="1"/>
    <col min="14088" max="14088" width="12" style="128" customWidth="1"/>
    <col min="14089" max="14331" width="9" style="128"/>
    <col min="14332" max="14332" width="9.83203125" style="128" bestFit="1" customWidth="1"/>
    <col min="14333" max="14333" width="8.33203125" style="128" bestFit="1" customWidth="1"/>
    <col min="14334" max="14334" width="18.58203125" style="128" customWidth="1"/>
    <col min="14335" max="14335" width="17.08203125" style="128" customWidth="1"/>
    <col min="14336" max="14336" width="14.58203125" style="128" bestFit="1" customWidth="1"/>
    <col min="14337" max="14337" width="9" style="128"/>
    <col min="14338" max="14338" width="3.83203125" style="128" customWidth="1"/>
    <col min="14339" max="14339" width="14.5" style="128" bestFit="1" customWidth="1"/>
    <col min="14340" max="14340" width="7.08203125" style="128" bestFit="1" customWidth="1"/>
    <col min="14341" max="14341" width="8.58203125" style="128" bestFit="1" customWidth="1"/>
    <col min="14342" max="14342" width="5" style="128" bestFit="1" customWidth="1"/>
    <col min="14343" max="14343" width="13.5" style="128" bestFit="1" customWidth="1"/>
    <col min="14344" max="14344" width="12" style="128" customWidth="1"/>
    <col min="14345" max="14587" width="9" style="128"/>
    <col min="14588" max="14588" width="9.83203125" style="128" bestFit="1" customWidth="1"/>
    <col min="14589" max="14589" width="8.33203125" style="128" bestFit="1" customWidth="1"/>
    <col min="14590" max="14590" width="18.58203125" style="128" customWidth="1"/>
    <col min="14591" max="14591" width="17.08203125" style="128" customWidth="1"/>
    <col min="14592" max="14592" width="14.58203125" style="128" bestFit="1" customWidth="1"/>
    <col min="14593" max="14593" width="9" style="128"/>
    <col min="14594" max="14594" width="3.83203125" style="128" customWidth="1"/>
    <col min="14595" max="14595" width="14.5" style="128" bestFit="1" customWidth="1"/>
    <col min="14596" max="14596" width="7.08203125" style="128" bestFit="1" customWidth="1"/>
    <col min="14597" max="14597" width="8.58203125" style="128" bestFit="1" customWidth="1"/>
    <col min="14598" max="14598" width="5" style="128" bestFit="1" customWidth="1"/>
    <col min="14599" max="14599" width="13.5" style="128" bestFit="1" customWidth="1"/>
    <col min="14600" max="14600" width="12" style="128" customWidth="1"/>
    <col min="14601" max="14843" width="9" style="128"/>
    <col min="14844" max="14844" width="9.83203125" style="128" bestFit="1" customWidth="1"/>
    <col min="14845" max="14845" width="8.33203125" style="128" bestFit="1" customWidth="1"/>
    <col min="14846" max="14846" width="18.58203125" style="128" customWidth="1"/>
    <col min="14847" max="14847" width="17.08203125" style="128" customWidth="1"/>
    <col min="14848" max="14848" width="14.58203125" style="128" bestFit="1" customWidth="1"/>
    <col min="14849" max="14849" width="9" style="128"/>
    <col min="14850" max="14850" width="3.83203125" style="128" customWidth="1"/>
    <col min="14851" max="14851" width="14.5" style="128" bestFit="1" customWidth="1"/>
    <col min="14852" max="14852" width="7.08203125" style="128" bestFit="1" customWidth="1"/>
    <col min="14853" max="14853" width="8.58203125" style="128" bestFit="1" customWidth="1"/>
    <col min="14854" max="14854" width="5" style="128" bestFit="1" customWidth="1"/>
    <col min="14855" max="14855" width="13.5" style="128" bestFit="1" customWidth="1"/>
    <col min="14856" max="14856" width="12" style="128" customWidth="1"/>
    <col min="14857" max="15099" width="9" style="128"/>
    <col min="15100" max="15100" width="9.83203125" style="128" bestFit="1" customWidth="1"/>
    <col min="15101" max="15101" width="8.33203125" style="128" bestFit="1" customWidth="1"/>
    <col min="15102" max="15102" width="18.58203125" style="128" customWidth="1"/>
    <col min="15103" max="15103" width="17.08203125" style="128" customWidth="1"/>
    <col min="15104" max="15104" width="14.58203125" style="128" bestFit="1" customWidth="1"/>
    <col min="15105" max="15105" width="9" style="128"/>
    <col min="15106" max="15106" width="3.83203125" style="128" customWidth="1"/>
    <col min="15107" max="15107" width="14.5" style="128" bestFit="1" customWidth="1"/>
    <col min="15108" max="15108" width="7.08203125" style="128" bestFit="1" customWidth="1"/>
    <col min="15109" max="15109" width="8.58203125" style="128" bestFit="1" customWidth="1"/>
    <col min="15110" max="15110" width="5" style="128" bestFit="1" customWidth="1"/>
    <col min="15111" max="15111" width="13.5" style="128" bestFit="1" customWidth="1"/>
    <col min="15112" max="15112" width="12" style="128" customWidth="1"/>
    <col min="15113" max="15355" width="9" style="128"/>
    <col min="15356" max="15356" width="9.83203125" style="128" bestFit="1" customWidth="1"/>
    <col min="15357" max="15357" width="8.33203125" style="128" bestFit="1" customWidth="1"/>
    <col min="15358" max="15358" width="18.58203125" style="128" customWidth="1"/>
    <col min="15359" max="15359" width="17.08203125" style="128" customWidth="1"/>
    <col min="15360" max="15360" width="14.58203125" style="128" bestFit="1" customWidth="1"/>
    <col min="15361" max="15361" width="9" style="128"/>
    <col min="15362" max="15362" width="3.83203125" style="128" customWidth="1"/>
    <col min="15363" max="15363" width="14.5" style="128" bestFit="1" customWidth="1"/>
    <col min="15364" max="15364" width="7.08203125" style="128" bestFit="1" customWidth="1"/>
    <col min="15365" max="15365" width="8.58203125" style="128" bestFit="1" customWidth="1"/>
    <col min="15366" max="15366" width="5" style="128" bestFit="1" customWidth="1"/>
    <col min="15367" max="15367" width="13.5" style="128" bestFit="1" customWidth="1"/>
    <col min="15368" max="15368" width="12" style="128" customWidth="1"/>
    <col min="15369" max="15611" width="9" style="128"/>
    <col min="15612" max="15612" width="9.83203125" style="128" bestFit="1" customWidth="1"/>
    <col min="15613" max="15613" width="8.33203125" style="128" bestFit="1" customWidth="1"/>
    <col min="15614" max="15614" width="18.58203125" style="128" customWidth="1"/>
    <col min="15615" max="15615" width="17.08203125" style="128" customWidth="1"/>
    <col min="15616" max="15616" width="14.58203125" style="128" bestFit="1" customWidth="1"/>
    <col min="15617" max="15617" width="9" style="128"/>
    <col min="15618" max="15618" width="3.83203125" style="128" customWidth="1"/>
    <col min="15619" max="15619" width="14.5" style="128" bestFit="1" customWidth="1"/>
    <col min="15620" max="15620" width="7.08203125" style="128" bestFit="1" customWidth="1"/>
    <col min="15621" max="15621" width="8.58203125" style="128" bestFit="1" customWidth="1"/>
    <col min="15622" max="15622" width="5" style="128" bestFit="1" customWidth="1"/>
    <col min="15623" max="15623" width="13.5" style="128" bestFit="1" customWidth="1"/>
    <col min="15624" max="15624" width="12" style="128" customWidth="1"/>
    <col min="15625" max="15867" width="9" style="128"/>
    <col min="15868" max="15868" width="9.83203125" style="128" bestFit="1" customWidth="1"/>
    <col min="15869" max="15869" width="8.33203125" style="128" bestFit="1" customWidth="1"/>
    <col min="15870" max="15870" width="18.58203125" style="128" customWidth="1"/>
    <col min="15871" max="15871" width="17.08203125" style="128" customWidth="1"/>
    <col min="15872" max="15872" width="14.58203125" style="128" bestFit="1" customWidth="1"/>
    <col min="15873" max="15873" width="9" style="128"/>
    <col min="15874" max="15874" width="3.83203125" style="128" customWidth="1"/>
    <col min="15875" max="15875" width="14.5" style="128" bestFit="1" customWidth="1"/>
    <col min="15876" max="15876" width="7.08203125" style="128" bestFit="1" customWidth="1"/>
    <col min="15877" max="15877" width="8.58203125" style="128" bestFit="1" customWidth="1"/>
    <col min="15878" max="15878" width="5" style="128" bestFit="1" customWidth="1"/>
    <col min="15879" max="15879" width="13.5" style="128" bestFit="1" customWidth="1"/>
    <col min="15880" max="15880" width="12" style="128" customWidth="1"/>
    <col min="15881" max="16123" width="9" style="128"/>
    <col min="16124" max="16124" width="9.83203125" style="128" bestFit="1" customWidth="1"/>
    <col min="16125" max="16125" width="8.33203125" style="128" bestFit="1" customWidth="1"/>
    <col min="16126" max="16126" width="18.58203125" style="128" customWidth="1"/>
    <col min="16127" max="16127" width="17.08203125" style="128" customWidth="1"/>
    <col min="16128" max="16128" width="14.58203125" style="128" bestFit="1" customWidth="1"/>
    <col min="16129" max="16129" width="9" style="128"/>
    <col min="16130" max="16130" width="3.83203125" style="128" customWidth="1"/>
    <col min="16131" max="16131" width="14.5" style="128" bestFit="1" customWidth="1"/>
    <col min="16132" max="16132" width="7.08203125" style="128" bestFit="1" customWidth="1"/>
    <col min="16133" max="16133" width="8.58203125" style="128" bestFit="1" customWidth="1"/>
    <col min="16134" max="16134" width="5" style="128" bestFit="1" customWidth="1"/>
    <col min="16135" max="16135" width="13.5" style="128" bestFit="1" customWidth="1"/>
    <col min="16136" max="16136" width="12" style="128" customWidth="1"/>
    <col min="16137" max="16377" width="9" style="128"/>
    <col min="16378" max="16384" width="9" style="128" customWidth="1"/>
  </cols>
  <sheetData>
    <row r="3" spans="1:7">
      <c r="A3" s="442" t="s">
        <v>116</v>
      </c>
      <c r="B3" s="442"/>
      <c r="C3" s="442"/>
      <c r="D3" s="442"/>
      <c r="E3" s="442"/>
      <c r="F3" s="442"/>
      <c r="G3" s="442"/>
    </row>
    <row r="4" spans="1:7">
      <c r="A4" s="442" t="str">
        <f>'Thông tin TSTĐ'!A8:E8</f>
        <v>Thời điểm khảo sát: 11/7/2024</v>
      </c>
      <c r="B4" s="442"/>
      <c r="C4" s="442"/>
      <c r="D4" s="442"/>
      <c r="E4" s="442"/>
      <c r="F4" s="442"/>
      <c r="G4" s="442"/>
    </row>
    <row r="6" spans="1:7" hidden="1"/>
    <row r="7" spans="1:7" hidden="1"/>
    <row r="8" spans="1:7" hidden="1"/>
    <row r="9" spans="1:7" hidden="1"/>
    <row r="11" spans="1:7" ht="15" customHeight="1">
      <c r="A11" s="130" t="s">
        <v>7</v>
      </c>
      <c r="B11" s="169" t="s">
        <v>84</v>
      </c>
      <c r="C11" s="130" t="s">
        <v>315</v>
      </c>
      <c r="D11" s="320" t="s">
        <v>313</v>
      </c>
      <c r="E11" s="130" t="s">
        <v>77</v>
      </c>
      <c r="F11" s="130" t="s">
        <v>78</v>
      </c>
      <c r="G11" s="173" t="s">
        <v>79</v>
      </c>
    </row>
    <row r="12" spans="1:7">
      <c r="A12" s="130" t="s">
        <v>11</v>
      </c>
      <c r="B12" s="169" t="s">
        <v>83</v>
      </c>
      <c r="C12" s="130"/>
      <c r="D12" s="320"/>
      <c r="E12" s="273"/>
      <c r="F12" s="130"/>
      <c r="G12" s="272"/>
    </row>
    <row r="13" spans="1:7" ht="98">
      <c r="A13" s="132">
        <v>1</v>
      </c>
      <c r="B13" s="167" t="s">
        <v>0</v>
      </c>
      <c r="C13" s="90" t="s">
        <v>360</v>
      </c>
      <c r="D13" s="295" t="s">
        <v>343</v>
      </c>
      <c r="E13" s="90" t="s">
        <v>340</v>
      </c>
      <c r="F13" s="90" t="s">
        <v>340</v>
      </c>
      <c r="G13" s="90" t="s">
        <v>340</v>
      </c>
    </row>
    <row r="14" spans="1:7" ht="10.5" customHeight="1">
      <c r="A14" s="132"/>
      <c r="B14" s="167"/>
      <c r="C14" s="272" t="s">
        <v>345</v>
      </c>
      <c r="D14" s="294" t="s">
        <v>314</v>
      </c>
      <c r="E14" s="274" t="s">
        <v>346</v>
      </c>
      <c r="F14" s="274" t="s">
        <v>346</v>
      </c>
      <c r="G14" s="274" t="s">
        <v>350</v>
      </c>
    </row>
    <row r="15" spans="1:7" ht="14" customHeight="1">
      <c r="A15" s="133">
        <v>2</v>
      </c>
      <c r="B15" s="167" t="s">
        <v>4</v>
      </c>
      <c r="C15" s="90"/>
      <c r="D15" s="295"/>
      <c r="E15" s="249" t="s">
        <v>316</v>
      </c>
      <c r="F15" s="249" t="s">
        <v>316</v>
      </c>
      <c r="G15" s="249" t="s">
        <v>316</v>
      </c>
    </row>
    <row r="16" spans="1:7" ht="19.5" customHeight="1">
      <c r="A16" s="133" t="s">
        <v>61</v>
      </c>
      <c r="B16" s="167" t="s">
        <v>5</v>
      </c>
      <c r="C16" s="272"/>
      <c r="D16" s="294"/>
      <c r="E16" s="249" t="s">
        <v>344</v>
      </c>
      <c r="F16" s="249" t="s">
        <v>344</v>
      </c>
      <c r="G16" s="249" t="s">
        <v>351</v>
      </c>
    </row>
    <row r="17" spans="1:9">
      <c r="A17" s="132">
        <v>3</v>
      </c>
      <c r="B17" s="167" t="s">
        <v>53</v>
      </c>
      <c r="C17" s="90"/>
      <c r="D17" s="295"/>
      <c r="E17" s="256" t="s">
        <v>309</v>
      </c>
      <c r="F17" s="256" t="s">
        <v>188</v>
      </c>
      <c r="G17" s="256" t="s">
        <v>188</v>
      </c>
    </row>
    <row r="18" spans="1:9" ht="28">
      <c r="A18" s="132">
        <v>4</v>
      </c>
      <c r="B18" s="167" t="s">
        <v>178</v>
      </c>
      <c r="C18" s="90"/>
      <c r="D18" s="295"/>
      <c r="E18" s="257" t="s">
        <v>308</v>
      </c>
      <c r="F18" s="257" t="s">
        <v>308</v>
      </c>
      <c r="G18" s="257" t="s">
        <v>308</v>
      </c>
    </row>
    <row r="19" spans="1:9" ht="28">
      <c r="A19" s="132">
        <v>5</v>
      </c>
      <c r="B19" s="167" t="s">
        <v>54</v>
      </c>
      <c r="C19" s="134" t="s">
        <v>55</v>
      </c>
      <c r="D19" s="297" t="s">
        <v>55</v>
      </c>
      <c r="E19" s="134" t="s">
        <v>55</v>
      </c>
      <c r="F19" s="134" t="s">
        <v>55</v>
      </c>
      <c r="G19" s="134" t="s">
        <v>55</v>
      </c>
    </row>
    <row r="20" spans="1:9" ht="28">
      <c r="A20" s="132">
        <v>6</v>
      </c>
      <c r="B20" s="167" t="s">
        <v>6</v>
      </c>
      <c r="C20" s="91" t="s">
        <v>82</v>
      </c>
      <c r="D20" s="298" t="s">
        <v>82</v>
      </c>
      <c r="E20" s="91" t="s">
        <v>82</v>
      </c>
      <c r="F20" s="91" t="s">
        <v>82</v>
      </c>
      <c r="G20" s="91" t="s">
        <v>82</v>
      </c>
    </row>
    <row r="21" spans="1:9">
      <c r="A21" s="132">
        <v>7</v>
      </c>
      <c r="B21" s="167" t="s">
        <v>80</v>
      </c>
      <c r="C21" s="90" t="s">
        <v>212</v>
      </c>
      <c r="D21" s="295" t="s">
        <v>212</v>
      </c>
      <c r="E21" s="90" t="s">
        <v>212</v>
      </c>
      <c r="F21" s="90" t="s">
        <v>212</v>
      </c>
      <c r="G21" s="90" t="s">
        <v>212</v>
      </c>
    </row>
    <row r="22" spans="1:9">
      <c r="A22" s="152">
        <v>8</v>
      </c>
      <c r="B22" s="148" t="s">
        <v>217</v>
      </c>
      <c r="C22" s="146" t="s">
        <v>205</v>
      </c>
      <c r="D22" s="299" t="s">
        <v>205</v>
      </c>
      <c r="E22" s="146" t="s">
        <v>205</v>
      </c>
      <c r="F22" s="146" t="s">
        <v>205</v>
      </c>
      <c r="G22" s="146" t="s">
        <v>205</v>
      </c>
    </row>
    <row r="23" spans="1:9" ht="78" customHeight="1">
      <c r="A23" s="132">
        <v>9</v>
      </c>
      <c r="B23" s="167" t="s">
        <v>229</v>
      </c>
      <c r="C23" s="90" t="s">
        <v>341</v>
      </c>
      <c r="D23" s="295" t="s">
        <v>341</v>
      </c>
      <c r="E23" s="90" t="s">
        <v>341</v>
      </c>
      <c r="F23" s="90" t="s">
        <v>341</v>
      </c>
      <c r="G23" s="90" t="s">
        <v>341</v>
      </c>
    </row>
    <row r="24" spans="1:9">
      <c r="A24" s="132">
        <v>10</v>
      </c>
      <c r="B24" s="167" t="s">
        <v>318</v>
      </c>
      <c r="C24" s="132" t="s">
        <v>347</v>
      </c>
      <c r="D24" s="300" t="s">
        <v>312</v>
      </c>
      <c r="E24" s="132" t="s">
        <v>347</v>
      </c>
      <c r="F24" s="132" t="s">
        <v>347</v>
      </c>
      <c r="G24" s="132" t="s">
        <v>347</v>
      </c>
    </row>
    <row r="25" spans="1:9">
      <c r="A25" s="132">
        <v>11</v>
      </c>
      <c r="B25" s="167" t="s">
        <v>235</v>
      </c>
      <c r="C25" s="254">
        <v>233.4</v>
      </c>
      <c r="D25" s="321">
        <v>1275.8</v>
      </c>
      <c r="E25" s="249">
        <v>410</v>
      </c>
      <c r="F25" s="304">
        <v>489.9</v>
      </c>
      <c r="G25" s="249">
        <v>182.6</v>
      </c>
    </row>
    <row r="26" spans="1:9" s="277" customFormat="1">
      <c r="B26" s="281" t="s">
        <v>320</v>
      </c>
      <c r="C26" s="279">
        <v>221.6</v>
      </c>
      <c r="D26" s="301">
        <v>0</v>
      </c>
      <c r="E26" s="278">
        <v>317.7</v>
      </c>
      <c r="F26" s="278">
        <v>379.9</v>
      </c>
      <c r="G26" s="278">
        <v>150.80000000000001</v>
      </c>
    </row>
    <row r="27" spans="1:9" s="277" customFormat="1" ht="28">
      <c r="A27" s="280"/>
      <c r="B27" s="281" t="s">
        <v>321</v>
      </c>
      <c r="C27" s="279">
        <f>C25-C26</f>
        <v>11.800000000000011</v>
      </c>
      <c r="D27" s="302">
        <f>D25-D26</f>
        <v>1275.8</v>
      </c>
      <c r="E27" s="279">
        <f t="shared" ref="E27:G27" si="0">E25-E26</f>
        <v>92.300000000000011</v>
      </c>
      <c r="F27" s="279">
        <f t="shared" si="0"/>
        <v>110</v>
      </c>
      <c r="G27" s="279">
        <f t="shared" si="0"/>
        <v>31.799999999999983</v>
      </c>
    </row>
    <row r="28" spans="1:9">
      <c r="A28" s="133">
        <v>12</v>
      </c>
      <c r="B28" s="167" t="s">
        <v>85</v>
      </c>
      <c r="C28" s="255">
        <v>5.99</v>
      </c>
      <c r="D28" s="303">
        <f>6+11.34</f>
        <v>17.34</v>
      </c>
      <c r="E28" s="275">
        <v>10</v>
      </c>
      <c r="F28" s="249">
        <v>12</v>
      </c>
      <c r="G28" s="275">
        <v>7</v>
      </c>
      <c r="H28" s="128">
        <v>10.8</v>
      </c>
      <c r="I28" s="128">
        <f>H28*76000</f>
        <v>820800</v>
      </c>
    </row>
    <row r="29" spans="1:9" hidden="1">
      <c r="A29" s="133">
        <v>13</v>
      </c>
      <c r="B29" s="167" t="s">
        <v>220</v>
      </c>
      <c r="C29" s="255" t="str">
        <f>'Thông tin TSTĐ'!D34</f>
        <v xml:space="preserve">Chiều sâu (m): </v>
      </c>
      <c r="D29" s="303">
        <f>'Thông tin TSTĐ'!E34</f>
        <v>21.34</v>
      </c>
      <c r="E29" s="90"/>
      <c r="F29" s="90"/>
      <c r="G29" s="90"/>
    </row>
    <row r="30" spans="1:9">
      <c r="A30" s="132">
        <v>13</v>
      </c>
      <c r="B30" s="167" t="s">
        <v>219</v>
      </c>
      <c r="C30" s="90" t="s">
        <v>267</v>
      </c>
      <c r="D30" s="295" t="str">
        <f>'Thông tin TSTĐ'!E26</f>
        <v>1 mặt tiền</v>
      </c>
      <c r="E30" s="90" t="s">
        <v>267</v>
      </c>
      <c r="F30" s="90" t="s">
        <v>267</v>
      </c>
      <c r="G30" s="90" t="s">
        <v>267</v>
      </c>
      <c r="H30" s="293">
        <f>D25-H28</f>
        <v>1265</v>
      </c>
      <c r="I30" s="128">
        <f>H30*90000000</f>
        <v>113850000000</v>
      </c>
    </row>
    <row r="31" spans="1:9">
      <c r="A31" s="132">
        <v>14</v>
      </c>
      <c r="B31" s="167" t="s">
        <v>56</v>
      </c>
      <c r="C31" s="90" t="s">
        <v>304</v>
      </c>
      <c r="D31" s="295" t="s">
        <v>319</v>
      </c>
      <c r="E31" s="90" t="s">
        <v>304</v>
      </c>
      <c r="F31" s="90" t="s">
        <v>304</v>
      </c>
      <c r="G31" s="90" t="s">
        <v>304</v>
      </c>
    </row>
    <row r="32" spans="1:9" ht="15" customHeight="1">
      <c r="A32" s="132">
        <v>15</v>
      </c>
      <c r="B32" s="167" t="s">
        <v>230</v>
      </c>
      <c r="C32" s="90" t="s">
        <v>232</v>
      </c>
      <c r="D32" s="295" t="s">
        <v>232</v>
      </c>
      <c r="E32" s="90" t="s">
        <v>232</v>
      </c>
      <c r="F32" s="90" t="s">
        <v>232</v>
      </c>
      <c r="G32" s="90" t="s">
        <v>232</v>
      </c>
    </row>
    <row r="33" spans="1:7" ht="28">
      <c r="A33" s="132">
        <v>16</v>
      </c>
      <c r="B33" s="167" t="s">
        <v>265</v>
      </c>
      <c r="C33" s="90" t="s">
        <v>317</v>
      </c>
      <c r="D33" s="90" t="s">
        <v>317</v>
      </c>
      <c r="E33" s="90" t="s">
        <v>317</v>
      </c>
      <c r="F33" s="90" t="s">
        <v>317</v>
      </c>
      <c r="G33" s="90" t="s">
        <v>317</v>
      </c>
    </row>
    <row r="34" spans="1:7" ht="28">
      <c r="A34" s="132">
        <v>17</v>
      </c>
      <c r="B34" s="167" t="s">
        <v>221</v>
      </c>
      <c r="C34" s="90" t="s">
        <v>275</v>
      </c>
      <c r="D34" s="295" t="s">
        <v>275</v>
      </c>
      <c r="E34" s="90" t="s">
        <v>275</v>
      </c>
      <c r="F34" s="90" t="s">
        <v>275</v>
      </c>
      <c r="G34" s="90" t="s">
        <v>275</v>
      </c>
    </row>
    <row r="35" spans="1:7">
      <c r="A35" s="132">
        <v>18</v>
      </c>
      <c r="B35" s="167" t="s">
        <v>81</v>
      </c>
      <c r="C35" s="90" t="s">
        <v>348</v>
      </c>
      <c r="D35" s="295" t="s">
        <v>349</v>
      </c>
      <c r="E35" s="90" t="s">
        <v>348</v>
      </c>
      <c r="F35" s="90" t="s">
        <v>348</v>
      </c>
      <c r="G35" s="90" t="s">
        <v>348</v>
      </c>
    </row>
    <row r="36" spans="1:7">
      <c r="A36" s="132">
        <v>19</v>
      </c>
      <c r="B36" s="167" t="s">
        <v>86</v>
      </c>
      <c r="C36" s="134" t="s">
        <v>310</v>
      </c>
      <c r="D36" s="297" t="s">
        <v>310</v>
      </c>
      <c r="E36" s="134" t="s">
        <v>310</v>
      </c>
      <c r="F36" s="134" t="s">
        <v>310</v>
      </c>
      <c r="G36" s="90" t="s">
        <v>310</v>
      </c>
    </row>
    <row r="37" spans="1:7" hidden="1">
      <c r="A37" s="133" t="s">
        <v>61</v>
      </c>
      <c r="B37" s="167" t="s">
        <v>88</v>
      </c>
      <c r="C37" s="137" t="s">
        <v>61</v>
      </c>
      <c r="D37" s="322" t="s">
        <v>61</v>
      </c>
      <c r="E37" s="137" t="s">
        <v>61</v>
      </c>
      <c r="F37" s="137" t="s">
        <v>61</v>
      </c>
      <c r="G37" s="249">
        <v>0</v>
      </c>
    </row>
    <row r="38" spans="1:7" ht="28" hidden="1">
      <c r="A38" s="133" t="s">
        <v>61</v>
      </c>
      <c r="B38" s="167" t="s">
        <v>198</v>
      </c>
      <c r="C38" s="137" t="s">
        <v>61</v>
      </c>
      <c r="D38" s="322" t="s">
        <v>61</v>
      </c>
      <c r="E38" s="137" t="s">
        <v>61</v>
      </c>
      <c r="F38" s="137" t="s">
        <v>61</v>
      </c>
      <c r="G38" s="249">
        <f>G37*G25</f>
        <v>0</v>
      </c>
    </row>
    <row r="39" spans="1:7" ht="14.15" hidden="1" customHeight="1">
      <c r="A39" s="136" t="s">
        <v>61</v>
      </c>
      <c r="B39" s="167" t="s">
        <v>87</v>
      </c>
      <c r="C39" s="138"/>
      <c r="D39" s="323"/>
      <c r="E39" s="90"/>
      <c r="F39" s="90"/>
      <c r="G39" s="90"/>
    </row>
    <row r="40" spans="1:7" s="309" customFormat="1" ht="42">
      <c r="A40" s="305">
        <v>20</v>
      </c>
      <c r="B40" s="306" t="s">
        <v>322</v>
      </c>
      <c r="C40" s="307"/>
      <c r="D40" s="324"/>
      <c r="E40" s="308">
        <v>54000</v>
      </c>
      <c r="F40" s="308">
        <v>54000</v>
      </c>
      <c r="G40" s="308">
        <v>54000</v>
      </c>
    </row>
    <row r="41" spans="1:7" s="309" customFormat="1" ht="28">
      <c r="A41" s="305">
        <v>21</v>
      </c>
      <c r="B41" s="306" t="s">
        <v>323</v>
      </c>
      <c r="C41" s="307"/>
      <c r="D41" s="324"/>
      <c r="E41" s="308">
        <f>E40*E27</f>
        <v>4984200.0000000009</v>
      </c>
      <c r="F41" s="308">
        <f t="shared" ref="F41:G41" si="1">F40*F27</f>
        <v>5940000</v>
      </c>
      <c r="G41" s="308">
        <f t="shared" si="1"/>
        <v>1717199.9999999991</v>
      </c>
    </row>
    <row r="42" spans="1:7">
      <c r="A42" s="132">
        <v>21</v>
      </c>
      <c r="B42" s="167" t="s">
        <v>90</v>
      </c>
      <c r="C42" s="134"/>
      <c r="D42" s="297"/>
      <c r="E42" s="250">
        <f>11000000*E25</f>
        <v>4510000000</v>
      </c>
      <c r="F42" s="250">
        <f>11000000*F25</f>
        <v>5388900000</v>
      </c>
      <c r="G42" s="251">
        <v>2341845000</v>
      </c>
    </row>
    <row r="43" spans="1:7" ht="28">
      <c r="A43" s="132">
        <v>22</v>
      </c>
      <c r="B43" s="167" t="s">
        <v>89</v>
      </c>
      <c r="C43" s="134"/>
      <c r="D43" s="297"/>
      <c r="E43" s="250">
        <f>E42*0.85</f>
        <v>3833500000</v>
      </c>
      <c r="F43" s="250">
        <f t="shared" ref="F43:G43" si="2">F42*0.85</f>
        <v>4580565000</v>
      </c>
      <c r="G43" s="250">
        <f t="shared" si="2"/>
        <v>1990568250</v>
      </c>
    </row>
    <row r="44" spans="1:7" ht="42">
      <c r="A44" s="132">
        <v>24</v>
      </c>
      <c r="B44" s="167" t="s">
        <v>324</v>
      </c>
      <c r="C44" s="134"/>
      <c r="D44" s="297"/>
      <c r="E44" s="250">
        <f>E43-E41</f>
        <v>3828515800</v>
      </c>
      <c r="F44" s="250">
        <f t="shared" ref="F44:G44" si="3">F43-F41</f>
        <v>4574625000</v>
      </c>
      <c r="G44" s="250">
        <f t="shared" si="3"/>
        <v>1988851050</v>
      </c>
    </row>
    <row r="45" spans="1:7" ht="15.75" customHeight="1">
      <c r="A45" s="139" t="s">
        <v>13</v>
      </c>
      <c r="B45" s="166" t="s">
        <v>91</v>
      </c>
      <c r="C45" s="134"/>
      <c r="D45" s="297"/>
      <c r="E45" s="212"/>
      <c r="F45" s="212"/>
      <c r="G45" s="212"/>
    </row>
    <row r="46" spans="1:7" ht="28" hidden="1">
      <c r="A46" s="139">
        <v>1</v>
      </c>
      <c r="B46" s="166" t="s">
        <v>202</v>
      </c>
      <c r="C46" s="134"/>
      <c r="D46" s="297"/>
      <c r="E46" s="252">
        <v>0</v>
      </c>
      <c r="F46" s="252">
        <v>0</v>
      </c>
      <c r="G46" s="252">
        <f>G38*G47*G48</f>
        <v>0</v>
      </c>
    </row>
    <row r="47" spans="1:7" ht="64.5" hidden="1" customHeight="1">
      <c r="A47" s="133" t="s">
        <v>61</v>
      </c>
      <c r="B47" s="167" t="s">
        <v>311</v>
      </c>
      <c r="C47" s="134"/>
      <c r="D47" s="297"/>
      <c r="E47" s="250">
        <f>ROUND(1.032*8225000/1.1,0)</f>
        <v>7716545</v>
      </c>
      <c r="F47" s="250">
        <f>ROUND(1.032*5184000/1.1,0)</f>
        <v>4863535</v>
      </c>
      <c r="G47" s="250">
        <v>0</v>
      </c>
    </row>
    <row r="48" spans="1:7" hidden="1">
      <c r="A48" s="133" t="s">
        <v>61</v>
      </c>
      <c r="B48" s="168" t="s">
        <v>41</v>
      </c>
      <c r="C48" s="140"/>
      <c r="D48" s="325"/>
      <c r="E48" s="253">
        <v>0.7</v>
      </c>
      <c r="F48" s="253">
        <v>0.5</v>
      </c>
      <c r="G48" s="253">
        <v>0</v>
      </c>
    </row>
    <row r="49" spans="1:7">
      <c r="A49" s="139">
        <v>1</v>
      </c>
      <c r="B49" s="166" t="s">
        <v>92</v>
      </c>
      <c r="C49" s="134"/>
      <c r="D49" s="297"/>
      <c r="E49" s="213">
        <f>E44</f>
        <v>3828515800</v>
      </c>
      <c r="F49" s="213">
        <f>F44</f>
        <v>4574625000</v>
      </c>
      <c r="G49" s="213">
        <f>G44</f>
        <v>1988851050</v>
      </c>
    </row>
    <row r="50" spans="1:7" ht="28">
      <c r="A50" s="139">
        <v>2</v>
      </c>
      <c r="B50" s="166" t="s">
        <v>199</v>
      </c>
      <c r="C50" s="90"/>
      <c r="D50" s="295"/>
      <c r="E50" s="214">
        <f>E49/E26</f>
        <v>12050726.471514007</v>
      </c>
      <c r="F50" s="214">
        <f t="shared" ref="F50:G50" si="4">F49/F26</f>
        <v>12041655.698868124</v>
      </c>
      <c r="G50" s="214">
        <f t="shared" si="4"/>
        <v>13188667.440318301</v>
      </c>
    </row>
    <row r="51" spans="1:7" s="312" customFormat="1">
      <c r="A51" s="310" t="s">
        <v>14</v>
      </c>
      <c r="B51" s="311" t="s">
        <v>184</v>
      </c>
      <c r="C51" s="257"/>
      <c r="D51" s="296"/>
      <c r="E51" s="257"/>
      <c r="F51" s="257"/>
      <c r="G51" s="257"/>
    </row>
    <row r="52" spans="1:7" hidden="1">
      <c r="A52" s="132">
        <v>1</v>
      </c>
      <c r="B52" s="170" t="str">
        <f>'BĐC '!B5</f>
        <v>Tính chất giao dịch</v>
      </c>
      <c r="C52" s="132"/>
      <c r="D52" s="300"/>
      <c r="E52" s="91" t="str">
        <f>IF('BĐC '!$D$6&gt;'BĐC '!E6," Lợi thế hơn", IF('BĐC '!$D$6&lt;'BĐC '!E6, "Kém lợi thế hơn", "Tương đồng"))</f>
        <v>Tương đồng</v>
      </c>
      <c r="F52" s="91" t="str">
        <f>IF('BĐC '!$D$6&gt;'BĐC '!F6," Lợi thế hơn", IF('BĐC '!$D$6&lt;'BĐC '!F6, "Kém lợi thế hơn", "Tương đồng"))</f>
        <v>Tương đồng</v>
      </c>
      <c r="G52" s="91" t="str">
        <f>IF('BĐC '!$D$6&gt;'BĐC '!G6," Lợi thế hơn", IF('BĐC '!$D$6&lt;'BĐC '!G6, "Kém lợi thế hơn", "Tương đồng"))</f>
        <v>Tương đồng</v>
      </c>
    </row>
    <row r="53" spans="1:7">
      <c r="A53" s="132">
        <v>1</v>
      </c>
      <c r="B53" s="170" t="str">
        <f>'BĐC '!B9</f>
        <v>Pháp lý</v>
      </c>
      <c r="C53" s="132"/>
      <c r="D53" s="300"/>
      <c r="E53" s="91" t="str">
        <f>IF('BĐC '!$D$6&gt;'BĐC '!E10," Lợi thế hơn", IF('BĐC '!$D$6&lt;'BĐC '!E10, "Kém lợi thế hơn", "Tương đồng"))</f>
        <v>Tương đồng</v>
      </c>
      <c r="F53" s="91" t="str">
        <f>IF('BĐC '!$D$6&gt;'BĐC '!F10," Lợi thế hơn", IF('BĐC '!$D$6&lt;'BĐC '!F10, "Kém lợi thế hơn", "Tương đồng"))</f>
        <v>Tương đồng</v>
      </c>
      <c r="G53" s="91" t="str">
        <f>IF('BĐC '!$D$6&gt;'BĐC '!G10," Lợi thế hơn", IF('BĐC '!$D$6&lt;'BĐC '!G10, "Kém lợi thế hơn", "Tương đồng"))</f>
        <v>Tương đồng</v>
      </c>
    </row>
    <row r="54" spans="1:7" hidden="1">
      <c r="A54" s="132">
        <v>3</v>
      </c>
      <c r="B54" s="170" t="str">
        <f>'BĐC '!B13</f>
        <v>Mục đích sử dụng</v>
      </c>
      <c r="C54" s="132"/>
      <c r="D54" s="300"/>
      <c r="E54" s="91" t="str">
        <f>IF('BĐC '!$D$6&gt;'BĐC '!E14," Lợi thế hơn", IF('BĐC '!$D$6&lt;'BĐC '!E14, "Kém lợi thế hơn", "Tương đồng"))</f>
        <v>Tương đồng</v>
      </c>
      <c r="F54" s="91" t="str">
        <f>IF('BĐC '!$D$6&gt;'BĐC '!F14," Lợi thế hơn", IF('BĐC '!$D$6&lt;'BĐC '!F14, "Kém lợi thế hơn", "Tương đồng"))</f>
        <v>Tương đồng</v>
      </c>
      <c r="G54" s="91" t="str">
        <f>IF('BĐC '!$D$6&gt;'BĐC '!G14," Lợi thế hơn", IF('BĐC '!$D$6&lt;'BĐC '!G14, "Kém lợi thế hơn", "Tương đồng"))</f>
        <v>Tương đồng</v>
      </c>
    </row>
    <row r="55" spans="1:7" hidden="1">
      <c r="A55" s="132">
        <v>4</v>
      </c>
      <c r="B55" s="170" t="str">
        <f>'BĐC '!B17</f>
        <v>Thời hạn sử dụng đất</v>
      </c>
      <c r="C55" s="132"/>
      <c r="D55" s="300"/>
      <c r="E55" s="91" t="str">
        <f>IF('BĐC '!$D$6&gt;'BĐC '!E18," Lợi thế hơn", IF('BĐC '!$D$6&lt;'BĐC '!E18, "Kém lợi thế hơn", "Tương đồng"))</f>
        <v>Tương đồng</v>
      </c>
      <c r="F55" s="91" t="str">
        <f>IF('BĐC '!$D$6&gt;'BĐC '!F18," Lợi thế hơn", IF('BĐC '!$D$6&lt;'BĐC '!F18, "Kém lợi thế hơn", "Tương đồng"))</f>
        <v>Tương đồng</v>
      </c>
      <c r="G55" s="91" t="str">
        <f>IF('BĐC '!$D$6&gt;'BĐC '!G18," Lợi thế hơn", IF('BĐC '!$D$6&lt;'BĐC '!G18, "Kém lợi thế hơn", "Tương đồng"))</f>
        <v>Tương đồng</v>
      </c>
    </row>
    <row r="56" spans="1:7">
      <c r="A56" s="132">
        <v>2</v>
      </c>
      <c r="B56" s="170" t="str">
        <f>'BĐC '!B21</f>
        <v>Vị trí</v>
      </c>
      <c r="C56" s="132"/>
      <c r="D56" s="300"/>
      <c r="E56" s="91" t="str">
        <f>IF('BĐC '!$D$6&gt;'BĐC '!E22," Lợi thế hơn", IF('BĐC '!$D$6&lt;'BĐC '!E22, "Kém lợi thế hơn", "Tương đồng"))</f>
        <v>Tương đồng</v>
      </c>
      <c r="F56" s="91" t="str">
        <f>IF('BĐC '!$D$6&gt;'BĐC '!F22," Lợi thế hơn", IF('BĐC '!$D$6&lt;'BĐC '!F22, "Kém lợi thế hơn", "Tương đồng"))</f>
        <v>Tương đồng</v>
      </c>
      <c r="G56" s="91" t="str">
        <f>IF('BĐC '!$D$6&gt;'BĐC '!G22," Lợi thế hơn", IF('BĐC '!$D$6&lt;'BĐC '!G22, "Kém lợi thế hơn", "Tương đồng"))</f>
        <v>Tương đồng</v>
      </c>
    </row>
    <row r="57" spans="1:7">
      <c r="A57" s="132">
        <v>3</v>
      </c>
      <c r="B57" s="170" t="str">
        <f>'BĐC '!B25</f>
        <v>Đường trước mặt tài sản</v>
      </c>
      <c r="C57" s="132"/>
      <c r="D57" s="300"/>
      <c r="E57" s="91" t="str">
        <f>IF('BĐC '!$D$6&gt;'BĐC '!E26," Lợi thế hơn", IF('BĐC '!$D$6&lt;'BĐC '!E26, "Kém lợi thế hơn", "Tương đồng"))</f>
        <v>Tương đồng</v>
      </c>
      <c r="F57" s="91" t="str">
        <f>IF('BĐC '!$D$6&gt;'BĐC '!F26," Lợi thế hơn", IF('BĐC '!$D$6&lt;'BĐC '!F26, "Kém lợi thế hơn", "Tương đồng"))</f>
        <v>Tương đồng</v>
      </c>
      <c r="G57" s="91" t="str">
        <f>IF('BĐC '!$D$6&gt;'BĐC '!G26," Lợi thế hơn", IF('BĐC '!$D$6&lt;'BĐC '!G26, "Kém lợi thế hơn", "Tương đồng"))</f>
        <v>Tương đồng</v>
      </c>
    </row>
    <row r="58" spans="1:7">
      <c r="A58" s="132">
        <v>4</v>
      </c>
      <c r="B58" s="170" t="str">
        <f>'BĐC '!B29</f>
        <v>Diện tích đất (m²)</v>
      </c>
      <c r="C58" s="132"/>
      <c r="D58" s="300"/>
      <c r="E58" s="91" t="str">
        <f>IF('BĐC '!$D$6&gt;'BĐC '!E30," Lợi thế hơn", IF('BĐC '!$D$6&lt;'BĐC '!E30, "Kém lợi thế hơn", "Tương đồng"))</f>
        <v>Kém lợi thế hơn</v>
      </c>
      <c r="F58" s="91" t="str">
        <f>IF('BĐC '!$D$6&gt;'BĐC '!F30," Lợi thế hơn", IF('BĐC '!$D$6&lt;'BĐC '!F30, "Kém lợi thế hơn", "Tương đồng"))</f>
        <v>Kém lợi thế hơn</v>
      </c>
      <c r="G58" s="91" t="str">
        <f>IF('BĐC '!$D$6&gt;'BĐC '!G30," Lợi thế hơn", IF('BĐC '!$D$6&lt;'BĐC '!G30, "Kém lợi thế hơn", "Tương đồng"))</f>
        <v xml:space="preserve"> Lợi thế hơn</v>
      </c>
    </row>
    <row r="59" spans="1:7">
      <c r="A59" s="132">
        <v>5</v>
      </c>
      <c r="B59" s="170" t="str">
        <f>'BĐC '!B33</f>
        <v>Mặt tiền (m)</v>
      </c>
      <c r="C59" s="132"/>
      <c r="D59" s="300"/>
      <c r="E59" s="91" t="str">
        <f>IF('BĐC '!$D$6&gt;'BĐC '!E34," Lợi thế hơn", IF('BĐC '!$D$6&lt;'BĐC '!E34, "Kém lợi thế hơn", "Tương đồng"))</f>
        <v xml:space="preserve"> Lợi thế hơn</v>
      </c>
      <c r="F59" s="91" t="str">
        <f>IF('BĐC '!$D$6&gt;'BĐC '!F34," Lợi thế hơn", IF('BĐC '!$D$6&lt;'BĐC '!F34, "Kém lợi thế hơn", "Tương đồng"))</f>
        <v xml:space="preserve"> Lợi thế hơn</v>
      </c>
      <c r="G59" s="91" t="str">
        <f>IF('BĐC '!$D$6&gt;'BĐC '!G34," Lợi thế hơn", IF('BĐC '!$D$6&lt;'BĐC '!G34, "Kém lợi thế hơn", "Tương đồng"))</f>
        <v>Tương đồng</v>
      </c>
    </row>
    <row r="60" spans="1:7" s="260" customFormat="1" hidden="1">
      <c r="A60" s="258">
        <v>9</v>
      </c>
      <c r="B60" s="259" t="str">
        <f>'BĐC '!B37</f>
        <v>Chiều sâu (m)</v>
      </c>
      <c r="C60" s="258"/>
      <c r="D60" s="300"/>
      <c r="E60" s="91" t="str">
        <f>IF('BĐC '!$D$6&gt;'BĐC '!E38," Lợi thế hơn", IF('BĐC '!$D$6&lt;'BĐC '!E38, "Kém lợi thế hơn", "Tương đồng"))</f>
        <v>Tương đồng</v>
      </c>
      <c r="F60" s="91" t="str">
        <f>IF('BĐC '!$D$6&gt;'BĐC '!F38," Lợi thế hơn", IF('BĐC '!$D$6&lt;'BĐC '!F38, "Kém lợi thế hơn", "Tương đồng"))</f>
        <v>Tương đồng</v>
      </c>
      <c r="G60" s="91" t="str">
        <f>IF('BĐC '!$D$6&gt;'BĐC '!G38," Lợi thế hơn", IF('BĐC '!$D$6&lt;'BĐC '!G38, "Kém lợi thế hơn", "Tương đồng"))</f>
        <v>Tương đồng</v>
      </c>
    </row>
    <row r="61" spans="1:7">
      <c r="A61" s="132">
        <v>6</v>
      </c>
      <c r="B61" s="170" t="str">
        <f>'BĐC '!B41</f>
        <v>Số lượng mặt tiếp giáp</v>
      </c>
      <c r="C61" s="132"/>
      <c r="D61" s="300"/>
      <c r="E61" s="91" t="str">
        <f>IF('BĐC '!$D$6&gt;'BĐC '!E42," Lợi thế hơn", IF('BĐC '!$D$6&lt;'BĐC '!E42, "Kém lợi thế hơn", "Tương đồng"))</f>
        <v>Tương đồng</v>
      </c>
      <c r="F61" s="91" t="str">
        <f>IF('BĐC '!$D$6&gt;'BĐC '!F42," Lợi thế hơn", IF('BĐC '!$D$6&lt;'BĐC '!F42, "Kém lợi thế hơn", "Tương đồng"))</f>
        <v>Tương đồng</v>
      </c>
      <c r="G61" s="91" t="str">
        <f>IF('BĐC '!$D$6&gt;'BĐC '!G42," Lợi thế hơn", IF('BĐC '!$D$6&lt;'BĐC '!G42, "Kém lợi thế hơn", "Tương đồng"))</f>
        <v>Tương đồng</v>
      </c>
    </row>
    <row r="62" spans="1:7">
      <c r="A62" s="132">
        <v>7</v>
      </c>
      <c r="B62" s="170" t="str">
        <f>'BĐC '!B45</f>
        <v>Hình dáng thửa đất</v>
      </c>
      <c r="C62" s="132"/>
      <c r="D62" s="300"/>
      <c r="E62" s="91" t="str">
        <f>IF('BĐC '!$D$6&gt;'BĐC '!E46," Lợi thế hơn", IF('BĐC '!$D$6&lt;'BĐC '!E46, "Kém lợi thế hơn", "Tương đồng"))</f>
        <v>Tương đồng</v>
      </c>
      <c r="F62" s="91" t="str">
        <f>IF('BĐC '!$D$6&gt;'BĐC '!F46," Lợi thế hơn", IF('BĐC '!$D$6&lt;'BĐC '!F46, "Kém lợi thế hơn", "Tương đồng"))</f>
        <v>Tương đồng</v>
      </c>
      <c r="G62" s="91" t="str">
        <f>IF('BĐC '!$D$6&gt;'BĐC '!G46," Lợi thế hơn", IF('BĐC '!$D$6&lt;'BĐC '!G46, "Kém lợi thế hơn", "Tương đồng"))</f>
        <v>Tương đồng</v>
      </c>
    </row>
    <row r="63" spans="1:7">
      <c r="A63" s="132">
        <v>8</v>
      </c>
      <c r="B63" s="170" t="str">
        <f>'BĐC '!B49</f>
        <v>Yếu tố phong thủy</v>
      </c>
      <c r="C63" s="132"/>
      <c r="D63" s="300"/>
      <c r="E63" s="91" t="str">
        <f>IF('BĐC '!$D$6&gt;'BĐC '!E50," Lợi thế hơn", IF('BĐC '!$D$6&lt;'BĐC '!E50, "Kém lợi thế hơn", "Tương đồng"))</f>
        <v>Tương đồng</v>
      </c>
      <c r="F63" s="91" t="str">
        <f>IF('BĐC '!$D$6&gt;'BĐC '!F50," Lợi thế hơn", IF('BĐC '!$D$6&lt;'BĐC '!F50, "Kém lợi thế hơn", "Tương đồng"))</f>
        <v>Tương đồng</v>
      </c>
      <c r="G63" s="91" t="str">
        <f>IF('BĐC '!$D$6&gt;'BĐC '!G50," Lợi thế hơn", IF('BĐC '!$D$6&lt;'BĐC '!G50, "Kém lợi thế hơn", "Tương đồng"))</f>
        <v>Tương đồng</v>
      </c>
    </row>
    <row r="64" spans="1:7" hidden="1">
      <c r="A64" s="132">
        <v>13</v>
      </c>
      <c r="B64" s="170" t="str">
        <f>'BĐC '!B53</f>
        <v>Yếu tố phong thủy</v>
      </c>
      <c r="C64" s="132"/>
      <c r="D64" s="300"/>
      <c r="E64" s="91" t="str">
        <f>IF('BĐC '!$D$6&gt;'BĐC '!E54," Lợi thế hơn", IF('BĐC '!$D$6&lt;'BĐC '!E54, "Kém lợi thế hơn", "Tương đồng"))</f>
        <v>Tương đồng</v>
      </c>
      <c r="F64" s="91" t="str">
        <f>IF('BĐC '!$D$6&gt;'BĐC '!F54," Lợi thế hơn", IF('BĐC '!$D$6&lt;'BĐC '!F54, "Kém lợi thế hơn", "Tương đồng"))</f>
        <v>Tương đồng</v>
      </c>
      <c r="G64" s="91" t="str">
        <f>IF('BĐC '!$D$6&gt;'BĐC '!G54," Lợi thế hơn", IF('BĐC '!$D$6&lt;'BĐC '!G54, "Kém lợi thế hơn", "Tương đồng"))</f>
        <v>Tương đồng</v>
      </c>
    </row>
    <row r="65" spans="1:7" ht="28">
      <c r="A65" s="132">
        <v>9</v>
      </c>
      <c r="B65" s="170" t="str">
        <f>'BĐC '!B57</f>
        <v>Điều kiện cơ sở hạ tầng kỹ thuật</v>
      </c>
      <c r="C65" s="132"/>
      <c r="D65" s="300"/>
      <c r="E65" s="91" t="str">
        <f>IF('BĐC '!$D$6&gt;'BĐC '!E58," Lợi thế hơn", IF('BĐC '!$D$6&lt;'BĐC '!E58, "Kém lợi thế hơn", "Tương đồng"))</f>
        <v>Tương đồng</v>
      </c>
      <c r="F65" s="91" t="str">
        <f>IF('BĐC '!$D$6&gt;'BĐC '!F58," Lợi thế hơn", IF('BĐC '!$D$6&lt;'BĐC '!F58, "Kém lợi thế hơn", "Tương đồng"))</f>
        <v>Tương đồng</v>
      </c>
      <c r="G65" s="91" t="str">
        <f>IF('BĐC '!$D$6&gt;'BĐC '!G58," Lợi thế hơn", IF('BĐC '!$D$6&lt;'BĐC '!G58, "Kém lợi thế hơn", "Tương đồng"))</f>
        <v>Tương đồng</v>
      </c>
    </row>
    <row r="66" spans="1:7">
      <c r="A66" s="132">
        <v>10</v>
      </c>
      <c r="B66" s="170" t="str">
        <f>'BĐC '!B61</f>
        <v>Giao thông</v>
      </c>
      <c r="C66" s="132"/>
      <c r="D66" s="300"/>
      <c r="E66" s="91" t="str">
        <f>IF('BĐC '!$D$6&gt;'BĐC '!E62," Lợi thế hơn", IF('BĐC '!$D$6&lt;'BĐC '!E62, "Kém lợi thế hơn", "Tương đồng"))</f>
        <v>Tương đồng</v>
      </c>
      <c r="F66" s="91" t="str">
        <f>IF('BĐC '!$D$6&gt;'BĐC '!F62," Lợi thế hơn", IF('BĐC '!$D$6&lt;'BĐC '!F62, "Kém lợi thế hơn", "Tương đồng"))</f>
        <v>Tương đồng</v>
      </c>
      <c r="G66" s="91" t="str">
        <f>IF('BĐC '!$D$6&gt;'BĐC '!G62," Lợi thế hơn", IF('BĐC '!$D$6&lt;'BĐC '!G62, "Kém lợi thế hơn", "Tương đồng"))</f>
        <v>Tương đồng</v>
      </c>
    </row>
    <row r="67" spans="1:7" s="62" customFormat="1">
      <c r="A67" s="61"/>
      <c r="C67" s="61"/>
      <c r="D67" s="326"/>
      <c r="E67" s="61"/>
      <c r="F67" s="126"/>
      <c r="G67" s="174"/>
    </row>
    <row r="71" spans="1:7">
      <c r="G71" s="175"/>
    </row>
    <row r="72" spans="1:7">
      <c r="E72" s="382">
        <v>13255799</v>
      </c>
      <c r="F72" s="383">
        <v>13245821</v>
      </c>
      <c r="G72" s="384">
        <v>12540052</v>
      </c>
    </row>
    <row r="73" spans="1:7" ht="14" customHeight="1">
      <c r="E73" s="443">
        <v>13013891</v>
      </c>
      <c r="F73" s="444"/>
      <c r="G73" s="445"/>
    </row>
    <row r="74" spans="1:7">
      <c r="G74" s="175"/>
    </row>
    <row r="75" spans="1:7">
      <c r="E75" s="385">
        <v>0.3</v>
      </c>
      <c r="F75" s="386">
        <f>E75*E72</f>
        <v>3976739.6999999997</v>
      </c>
      <c r="G75" s="175"/>
    </row>
    <row r="76" spans="1:7">
      <c r="E76" s="385">
        <v>0.3</v>
      </c>
      <c r="F76" s="386">
        <f>E76*F72</f>
        <v>3973746.3</v>
      </c>
    </row>
    <row r="77" spans="1:7">
      <c r="E77" s="385">
        <v>0.4</v>
      </c>
      <c r="F77" s="386">
        <f>E77*G72</f>
        <v>5016020.8</v>
      </c>
    </row>
    <row r="78" spans="1:7">
      <c r="F78" s="387">
        <f>SUM(F75:F77)</f>
        <v>12966506.800000001</v>
      </c>
    </row>
    <row r="83" spans="5:5">
      <c r="E83" s="129">
        <f>6.25/37</f>
        <v>0.16891891891891891</v>
      </c>
    </row>
  </sheetData>
  <mergeCells count="3">
    <mergeCell ref="A3:G3"/>
    <mergeCell ref="A4:G4"/>
    <mergeCell ref="E73:G73"/>
  </mergeCells>
  <phoneticPr fontId="15" type="noConversion"/>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TTCB</vt:lpstr>
      <vt:lpstr>HSTĐG</vt:lpstr>
      <vt:lpstr>KHTĐG</vt:lpstr>
      <vt:lpstr>Thông tin TSTĐ</vt:lpstr>
      <vt:lpstr>THKQ</vt:lpstr>
      <vt:lpstr>Đc đơn giá</vt:lpstr>
      <vt:lpstr>Sheet1</vt:lpstr>
      <vt:lpstr>TSSS </vt:lpstr>
      <vt:lpstr>BĐC </vt:lpstr>
      <vt:lpstr>BĐC  (2)</vt:lpstr>
      <vt:lpstr>TH GTTS</vt:lpstr>
      <vt:lpstr>Đọc tiền</vt:lpstr>
      <vt:lpstr>TSSS1</vt:lpstr>
      <vt:lpstr>TSSS2</vt:lpstr>
      <vt:lpstr>TSSS3</vt:lpstr>
      <vt:lpstr>Nhà ở</vt:lpstr>
      <vt:lpstr>HSTĐG!Print_Area</vt:lpstr>
      <vt:lpstr>KHTĐG!Print_Area</vt:lpstr>
      <vt:lpstr>'TSSS '!Print_Area</vt:lpstr>
      <vt:lpstr>TSSS1!Print_Area</vt:lpstr>
      <vt:lpstr>TSSS2!Print_Area</vt:lpstr>
      <vt:lpstr>TSSS3!Print_Area</vt:lpstr>
      <vt:lpstr>'TH GTTS'!Print_Area</vt:lpstr>
      <vt:lpstr>'Thông tin TSTĐ'!Print_Area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Admin</cp:lastModifiedBy>
  <cp:lastPrinted>2026-01-09T09:44:26Z</cp:lastPrinted>
  <dcterms:created xsi:type="dcterms:W3CDTF">2019-10-10T07:29:14Z</dcterms:created>
  <dcterms:modified xsi:type="dcterms:W3CDTF">2026-01-15T07:37:32Z</dcterms:modified>
</cp:coreProperties>
</file>