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Công việc tại Hoa Sen\Năm 2026\6. Tháng 06\11. TS tại Âu Lâu, Yên Bái - SHB CN Kinh Bắc\"/>
    </mc:Choice>
  </mc:AlternateContent>
  <xr:revisionPtr revIDLastSave="0" documentId="13_ncr:1_{3D094B02-FBC7-4DD1-8DB1-54D786513088}" xr6:coauthVersionLast="47" xr6:coauthVersionMax="47" xr10:uidLastSave="{00000000-0000-0000-0000-000000000000}"/>
  <bookViews>
    <workbookView xWindow="-108" yWindow="-108" windowWidth="23256" windowHeight="12456" tabRatio="818" firstSheet="5" activeTab="8" xr2:uid="{00000000-000D-0000-FFFF-FFFF00000000}"/>
  </bookViews>
  <sheets>
    <sheet name="foxz" sheetId="10" state="veryHidden" r:id="rId1"/>
    <sheet name="TTCB" sheetId="31" state="hidden" r:id="rId2"/>
    <sheet name="HSTĐG" sheetId="28" state="hidden" r:id="rId3"/>
    <sheet name="KHTĐG" sheetId="29" state="hidden" r:id="rId4"/>
    <sheet name="Thông tin TSTĐ" sheetId="25" state="hidden" r:id="rId5"/>
    <sheet name="TSSS " sheetId="20" r:id="rId6"/>
    <sheet name="BĐC " sheetId="21" r:id="rId7"/>
    <sheet name="Bảng tính MMTB" sheetId="43" r:id="rId8"/>
    <sheet name="Bảng tổng hợp " sheetId="44" r:id="rId9"/>
    <sheet name="Nhà ở" sheetId="34" state="hidden" r:id="rId10"/>
    <sheet name="Giá trị đất" sheetId="27" state="hidden" r:id="rId11"/>
    <sheet name="Link vị trí TSSS" sheetId="41" state="hidden" r:id="rId12"/>
    <sheet name="Sheet3" sheetId="38" state="hidden" r:id="rId13"/>
    <sheet name="Sheet2" sheetId="40" state="hidden" r:id="rId14"/>
    <sheet name="Sheet1" sheetId="36" state="hidden" r:id="rId15"/>
    <sheet name="Gửi hồ sơ" sheetId="35" state="hidden" r:id="rId16"/>
    <sheet name="Đọc tiền" sheetId="32" state="hidden" r:id="rId17"/>
    <sheet name="So đô TSSS" sheetId="26" state="hidden" r:id="rId18"/>
    <sheet name="CTXD " sheetId="22" state="hidden" r:id="rId19"/>
  </sheets>
  <externalReferences>
    <externalReference r:id="rId20"/>
    <externalReference r:id="rId21"/>
  </externalReferences>
  <definedNames>
    <definedName name="_xlnm.Print_Area" localSheetId="2">HSTĐG!$A$1:$H$22</definedName>
    <definedName name="_xlnm.Print_Area" localSheetId="3">KHTĐG!$A$1:$D$45</definedName>
    <definedName name="_xlnm.Print_Area" localSheetId="4">'Thông tin TSTĐ'!$A$1:$E$73</definedName>
    <definedName name="_xlnm.Print_Area" localSheetId="5">'TSSS '!#REF!</definedName>
    <definedName name="TTTSSS">'[1]TT TSSS'!$A$3:$L$27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4" l="1"/>
  <c r="F8" i="44"/>
  <c r="E6" i="44"/>
  <c r="D6" i="44"/>
  <c r="G7" i="44"/>
  <c r="E18" i="43"/>
  <c r="K5" i="43"/>
  <c r="J5" i="43"/>
  <c r="L5" i="43" s="1"/>
  <c r="M5" i="43" s="1"/>
  <c r="N5" i="43" s="1"/>
  <c r="G9" i="44" l="1"/>
  <c r="G6" i="44"/>
  <c r="G5" i="44" s="1"/>
  <c r="N6" i="43"/>
  <c r="E6" i="43"/>
  <c r="G10" i="44" l="1"/>
  <c r="E53" i="21"/>
  <c r="F53" i="21"/>
  <c r="G53" i="21"/>
  <c r="D53" i="21"/>
  <c r="E17" i="21"/>
  <c r="F17" i="21"/>
  <c r="G17" i="21"/>
  <c r="D17" i="21"/>
  <c r="E13" i="21"/>
  <c r="F13" i="21"/>
  <c r="G13" i="21"/>
  <c r="D13" i="21"/>
  <c r="E33" i="20"/>
  <c r="E30" i="20"/>
  <c r="F30" i="20"/>
  <c r="D30" i="20"/>
  <c r="E21" i="21"/>
  <c r="F21" i="21"/>
  <c r="G21" i="21"/>
  <c r="D21" i="21"/>
  <c r="E57" i="21"/>
  <c r="F57" i="21"/>
  <c r="G57" i="21"/>
  <c r="D57" i="21"/>
  <c r="E33" i="21"/>
  <c r="F33" i="21"/>
  <c r="G33" i="21"/>
  <c r="D33" i="21"/>
  <c r="E45" i="21" l="1"/>
  <c r="F45" i="21"/>
  <c r="G45" i="21"/>
  <c r="D45" i="21"/>
  <c r="E41" i="21"/>
  <c r="F41" i="21"/>
  <c r="G41" i="21"/>
  <c r="D41" i="21"/>
  <c r="E29" i="21"/>
  <c r="F29" i="21"/>
  <c r="G29" i="21"/>
  <c r="D29" i="21"/>
  <c r="E25" i="21"/>
  <c r="F25" i="21"/>
  <c r="G25" i="21"/>
  <c r="D25" i="21"/>
  <c r="C3" i="27" l="1"/>
  <c r="B2" i="27"/>
  <c r="F101" i="21"/>
  <c r="F100" i="21"/>
  <c r="F99" i="21"/>
  <c r="D85" i="21"/>
  <c r="D88" i="21" s="1"/>
  <c r="K64" i="21"/>
  <c r="J64" i="21"/>
  <c r="I64" i="21"/>
  <c r="K63" i="21"/>
  <c r="J63" i="21"/>
  <c r="I63" i="21"/>
  <c r="K62" i="21"/>
  <c r="J62" i="21"/>
  <c r="I62" i="21"/>
  <c r="G61" i="21"/>
  <c r="F61" i="21"/>
  <c r="E61" i="21"/>
  <c r="D61" i="21"/>
  <c r="B61" i="21"/>
  <c r="K60" i="21"/>
  <c r="J60" i="21"/>
  <c r="I60" i="21"/>
  <c r="K59" i="21"/>
  <c r="J59" i="21"/>
  <c r="I59" i="21"/>
  <c r="K58" i="21"/>
  <c r="J58" i="21"/>
  <c r="I58" i="21"/>
  <c r="B57" i="21"/>
  <c r="K56" i="21"/>
  <c r="J56" i="21"/>
  <c r="I56" i="21"/>
  <c r="K55" i="21"/>
  <c r="J55" i="21"/>
  <c r="I55" i="21"/>
  <c r="K54" i="21"/>
  <c r="J54" i="21"/>
  <c r="I54" i="21"/>
  <c r="B53" i="21"/>
  <c r="K52" i="21"/>
  <c r="J52" i="21"/>
  <c r="I52" i="21"/>
  <c r="K51" i="21"/>
  <c r="J51" i="21"/>
  <c r="I51" i="21"/>
  <c r="K50" i="21"/>
  <c r="J50" i="21"/>
  <c r="I50" i="21"/>
  <c r="G49" i="21"/>
  <c r="F49" i="21"/>
  <c r="E49" i="21"/>
  <c r="D49" i="21"/>
  <c r="B49" i="21"/>
  <c r="K48" i="21"/>
  <c r="J48" i="21"/>
  <c r="I48" i="21"/>
  <c r="K47" i="21"/>
  <c r="J47" i="21"/>
  <c r="I47" i="21"/>
  <c r="K46" i="21"/>
  <c r="J46" i="21"/>
  <c r="I46" i="21"/>
  <c r="B45" i="21"/>
  <c r="K44" i="21"/>
  <c r="J44" i="21"/>
  <c r="I44" i="21"/>
  <c r="K43" i="21"/>
  <c r="J43" i="21"/>
  <c r="I43" i="21"/>
  <c r="K42" i="21"/>
  <c r="J42" i="21"/>
  <c r="I42" i="21"/>
  <c r="B41" i="21"/>
  <c r="K40" i="21"/>
  <c r="J40" i="21"/>
  <c r="I40" i="21"/>
  <c r="K39" i="21"/>
  <c r="J39" i="21"/>
  <c r="I39" i="21"/>
  <c r="K38" i="21"/>
  <c r="J38" i="21"/>
  <c r="I38" i="21"/>
  <c r="G37" i="21"/>
  <c r="F37" i="21"/>
  <c r="E37" i="21"/>
  <c r="D37" i="21"/>
  <c r="B37" i="21"/>
  <c r="K36" i="21"/>
  <c r="J36" i="21"/>
  <c r="I36" i="21"/>
  <c r="K35" i="21"/>
  <c r="J35" i="21"/>
  <c r="I35" i="21"/>
  <c r="K34" i="21"/>
  <c r="J34" i="21"/>
  <c r="I34" i="21"/>
  <c r="N32" i="21"/>
  <c r="N33" i="21" s="1"/>
  <c r="B33" i="21"/>
  <c r="K32" i="21"/>
  <c r="J32" i="21"/>
  <c r="I32" i="21"/>
  <c r="K31" i="21"/>
  <c r="J31" i="21"/>
  <c r="I31" i="21"/>
  <c r="K30" i="21"/>
  <c r="J30" i="21"/>
  <c r="I30" i="21"/>
  <c r="N29" i="21"/>
  <c r="N28" i="21" s="1"/>
  <c r="B29" i="21"/>
  <c r="K28" i="21"/>
  <c r="J28" i="21"/>
  <c r="I28" i="21"/>
  <c r="K27" i="21"/>
  <c r="J27" i="21"/>
  <c r="I27" i="21"/>
  <c r="K26" i="21"/>
  <c r="J26" i="21"/>
  <c r="I26" i="21"/>
  <c r="B25" i="21"/>
  <c r="K24" i="21"/>
  <c r="J24" i="21"/>
  <c r="I24" i="21"/>
  <c r="K23" i="21"/>
  <c r="J23" i="21"/>
  <c r="I23" i="21"/>
  <c r="K22" i="21"/>
  <c r="J22" i="21"/>
  <c r="I22" i="21"/>
  <c r="C88" i="21"/>
  <c r="B21" i="21"/>
  <c r="K20" i="21"/>
  <c r="J20" i="21"/>
  <c r="I20" i="21"/>
  <c r="K19" i="21"/>
  <c r="J19" i="21"/>
  <c r="I19" i="21"/>
  <c r="K18" i="21"/>
  <c r="J18" i="21"/>
  <c r="I18" i="21"/>
  <c r="B17" i="21"/>
  <c r="K16" i="21"/>
  <c r="J16" i="21"/>
  <c r="I16" i="21"/>
  <c r="K15" i="21"/>
  <c r="J15" i="21"/>
  <c r="I15" i="21"/>
  <c r="K14" i="21"/>
  <c r="J14" i="21"/>
  <c r="I14" i="21"/>
  <c r="B13" i="21"/>
  <c r="K12" i="21"/>
  <c r="J12" i="21"/>
  <c r="I12" i="21"/>
  <c r="K11" i="21"/>
  <c r="J11" i="21"/>
  <c r="I11" i="21"/>
  <c r="K10" i="21"/>
  <c r="J10" i="21"/>
  <c r="I10" i="21"/>
  <c r="G9" i="21"/>
  <c r="F9" i="21"/>
  <c r="E9" i="21"/>
  <c r="D9" i="21"/>
  <c r="K8" i="21"/>
  <c r="J8" i="21"/>
  <c r="I8" i="21"/>
  <c r="K7" i="21"/>
  <c r="J7" i="21"/>
  <c r="I7" i="21"/>
  <c r="K6" i="21"/>
  <c r="J6" i="21"/>
  <c r="I6" i="21"/>
  <c r="G5" i="21"/>
  <c r="F5" i="21"/>
  <c r="E5" i="21"/>
  <c r="D5" i="21"/>
  <c r="B5" i="21"/>
  <c r="G1" i="21"/>
  <c r="F1" i="21"/>
  <c r="E1" i="21"/>
  <c r="D1" i="21"/>
  <c r="D69" i="20"/>
  <c r="F52" i="20"/>
  <c r="E52" i="20"/>
  <c r="D52" i="20"/>
  <c r="B52" i="20"/>
  <c r="F51" i="20"/>
  <c r="E51" i="20"/>
  <c r="D51" i="20"/>
  <c r="B51" i="20"/>
  <c r="F50" i="20"/>
  <c r="E50" i="20"/>
  <c r="D50" i="20"/>
  <c r="B50" i="20"/>
  <c r="F49" i="20"/>
  <c r="E49" i="20"/>
  <c r="D49" i="20"/>
  <c r="B49" i="20"/>
  <c r="F48" i="20"/>
  <c r="E48" i="20"/>
  <c r="D48" i="20"/>
  <c r="B48" i="20"/>
  <c r="F47" i="20"/>
  <c r="E47" i="20"/>
  <c r="D47" i="20"/>
  <c r="B47" i="20"/>
  <c r="F46" i="20"/>
  <c r="E46" i="20"/>
  <c r="D46" i="20"/>
  <c r="B46" i="20"/>
  <c r="F45" i="20"/>
  <c r="E45" i="20"/>
  <c r="D45" i="20"/>
  <c r="B45" i="20"/>
  <c r="F44" i="20"/>
  <c r="E44" i="20"/>
  <c r="D44" i="20"/>
  <c r="B44" i="20"/>
  <c r="F43" i="20"/>
  <c r="E43" i="20"/>
  <c r="D43" i="20"/>
  <c r="B43" i="20"/>
  <c r="F42" i="20"/>
  <c r="E42" i="20"/>
  <c r="D42" i="20"/>
  <c r="B42" i="20"/>
  <c r="F41" i="20"/>
  <c r="E41" i="20"/>
  <c r="D41" i="20"/>
  <c r="B41" i="20"/>
  <c r="F40" i="20"/>
  <c r="E40" i="20"/>
  <c r="D40" i="20"/>
  <c r="B40" i="20"/>
  <c r="F39" i="20"/>
  <c r="E39" i="20"/>
  <c r="D39" i="20"/>
  <c r="B39" i="20"/>
  <c r="F38" i="20"/>
  <c r="E38" i="20"/>
  <c r="D38" i="20"/>
  <c r="B38" i="20"/>
  <c r="F35" i="20"/>
  <c r="E32" i="20"/>
  <c r="E35" i="20" s="1"/>
  <c r="D35" i="20"/>
  <c r="E36" i="20" l="1"/>
  <c r="F2" i="21"/>
  <c r="F36" i="20"/>
  <c r="G2" i="21"/>
  <c r="D36" i="20"/>
  <c r="E2" i="21"/>
  <c r="K73" i="21"/>
  <c r="G93" i="21" s="1"/>
  <c r="I73" i="21"/>
  <c r="E93" i="21" s="1"/>
  <c r="K71" i="21"/>
  <c r="G70" i="21" s="1"/>
  <c r="I71" i="21"/>
  <c r="E70" i="21" s="1"/>
  <c r="J72" i="21"/>
  <c r="F73" i="21" s="1"/>
  <c r="J73" i="21"/>
  <c r="F93" i="21" s="1"/>
  <c r="I72" i="21"/>
  <c r="E73" i="21" s="1"/>
  <c r="K72" i="21"/>
  <c r="G73" i="21" s="1"/>
  <c r="J71" i="21"/>
  <c r="F70" i="21" s="1"/>
  <c r="D89" i="21"/>
  <c r="E89" i="21" s="1"/>
  <c r="E88" i="21"/>
  <c r="E90" i="21" s="1"/>
  <c r="L29" i="21"/>
  <c r="L28" i="21" s="1"/>
  <c r="M29" i="21"/>
  <c r="M28" i="21" s="1"/>
  <c r="L32" i="21"/>
  <c r="L33" i="21" s="1"/>
  <c r="M32" i="21"/>
  <c r="M33" i="21" s="1"/>
  <c r="E3" i="21" l="1"/>
  <c r="E19" i="21" s="1"/>
  <c r="F3" i="21"/>
  <c r="F15" i="21" s="1"/>
  <c r="G3" i="21"/>
  <c r="G19" i="21" s="1"/>
  <c r="F19" i="21" l="1"/>
  <c r="F11" i="21"/>
  <c r="F12" i="21" s="1"/>
  <c r="F16" i="21" s="1"/>
  <c r="E11" i="21"/>
  <c r="E12" i="21" s="1"/>
  <c r="E7" i="21"/>
  <c r="E8" i="21" s="1"/>
  <c r="E15" i="21"/>
  <c r="G11" i="21"/>
  <c r="G12" i="21" s="1"/>
  <c r="G7" i="21"/>
  <c r="G8" i="21" s="1"/>
  <c r="F7" i="21"/>
  <c r="F8" i="21" s="1"/>
  <c r="G15" i="21"/>
  <c r="F20" i="21" l="1"/>
  <c r="F47" i="21" s="1"/>
  <c r="E16" i="21"/>
  <c r="E20" i="21" s="1"/>
  <c r="E59" i="21" s="1"/>
  <c r="G16" i="21"/>
  <c r="G20" i="21" s="1"/>
  <c r="G31" i="21" s="1"/>
  <c r="F43" i="21" l="1"/>
  <c r="F55" i="21"/>
  <c r="F63" i="21"/>
  <c r="F39" i="21"/>
  <c r="F51" i="21"/>
  <c r="F27" i="21"/>
  <c r="F31" i="21"/>
  <c r="F35" i="21"/>
  <c r="F59" i="21"/>
  <c r="F23" i="21"/>
  <c r="F24" i="21" s="1"/>
  <c r="E31" i="21"/>
  <c r="E47" i="21"/>
  <c r="E55" i="21"/>
  <c r="E35" i="21"/>
  <c r="E23" i="21"/>
  <c r="E24" i="21" s="1"/>
  <c r="G63" i="21"/>
  <c r="G27" i="21"/>
  <c r="G59" i="21"/>
  <c r="E27" i="21"/>
  <c r="E51" i="21"/>
  <c r="E43" i="21"/>
  <c r="G23" i="21"/>
  <c r="G24" i="21" s="1"/>
  <c r="E63" i="21"/>
  <c r="G39" i="21"/>
  <c r="G55" i="21"/>
  <c r="G43" i="21"/>
  <c r="G35" i="21"/>
  <c r="E39" i="21"/>
  <c r="G51" i="21"/>
  <c r="G47" i="21"/>
  <c r="F69" i="21" l="1"/>
  <c r="F28" i="21"/>
  <c r="F32" i="21" s="1"/>
  <c r="F36" i="21" s="1"/>
  <c r="F40" i="21" s="1"/>
  <c r="F44" i="21" s="1"/>
  <c r="F48" i="21" s="1"/>
  <c r="F52" i="21" s="1"/>
  <c r="F56" i="21" s="1"/>
  <c r="F60" i="21" s="1"/>
  <c r="F64" i="21" s="1"/>
  <c r="F72" i="21"/>
  <c r="F65" i="21"/>
  <c r="E100" i="21" s="1"/>
  <c r="G100" i="21" s="1"/>
  <c r="E28" i="21"/>
  <c r="E32" i="21" s="1"/>
  <c r="E36" i="21" s="1"/>
  <c r="E40" i="21" s="1"/>
  <c r="E44" i="21" s="1"/>
  <c r="E48" i="21" s="1"/>
  <c r="E52" i="21" s="1"/>
  <c r="E56" i="21" s="1"/>
  <c r="E60" i="21" s="1"/>
  <c r="E64" i="21" s="1"/>
  <c r="G28" i="21"/>
  <c r="G32" i="21" s="1"/>
  <c r="G36" i="21" s="1"/>
  <c r="G40" i="21" s="1"/>
  <c r="G44" i="21" s="1"/>
  <c r="G48" i="21" s="1"/>
  <c r="G52" i="21" s="1"/>
  <c r="G56" i="21" s="1"/>
  <c r="G60" i="21" s="1"/>
  <c r="G64" i="21" s="1"/>
  <c r="E69" i="21"/>
  <c r="G72" i="21"/>
  <c r="G69" i="21"/>
  <c r="G65" i="21"/>
  <c r="E101" i="21" s="1"/>
  <c r="G101" i="21" s="1"/>
  <c r="E72" i="21"/>
  <c r="E65" i="21"/>
  <c r="E66" i="21" l="1"/>
  <c r="F67" i="21" s="1"/>
  <c r="E99" i="21"/>
  <c r="G99" i="21" s="1"/>
  <c r="G102" i="21" s="1"/>
  <c r="H66" i="21"/>
  <c r="A8" i="25"/>
  <c r="G103" i="21" l="1"/>
  <c r="H65" i="21"/>
  <c r="D3" i="27" s="1"/>
  <c r="F3" i="27" s="1"/>
  <c r="B75" i="21"/>
  <c r="D75" i="21" s="1"/>
  <c r="G67" i="21"/>
  <c r="E67" i="21"/>
  <c r="B12" i="25"/>
  <c r="D4" i="27" l="1"/>
  <c r="C43" i="25"/>
  <c r="C30" i="25"/>
  <c r="F4" i="27" l="1"/>
  <c r="F12" i="25" l="1"/>
  <c r="C38" i="25" l="1"/>
  <c r="F23" i="27"/>
  <c r="H9" i="27"/>
  <c r="H12" i="27"/>
  <c r="F30" i="25" l="1"/>
  <c r="J7" i="40" l="1"/>
  <c r="K6" i="40"/>
  <c r="I7" i="40"/>
  <c r="K7" i="40" s="1"/>
  <c r="K10" i="40" l="1"/>
  <c r="K8" i="40"/>
  <c r="B13" i="29" l="1"/>
  <c r="C6" i="28" s="1"/>
  <c r="C10" i="38" l="1"/>
  <c r="D10" i="38"/>
  <c r="E4" i="38"/>
  <c r="E5" i="38"/>
  <c r="E6" i="38"/>
  <c r="E7" i="38"/>
  <c r="E8" i="38"/>
  <c r="E9" i="38"/>
  <c r="E3" i="38"/>
  <c r="E10" i="38" l="1"/>
  <c r="E11" i="38"/>
  <c r="E12" i="38" s="1"/>
  <c r="C26" i="34" l="1"/>
  <c r="I7" i="36" l="1"/>
  <c r="I11" i="36"/>
  <c r="I6" i="36"/>
  <c r="I8" i="36" l="1"/>
  <c r="I4" i="36"/>
  <c r="D35" i="34" l="1"/>
  <c r="J6" i="28" l="1"/>
  <c r="C8" i="28" l="1"/>
  <c r="D1" i="31"/>
  <c r="G1" i="31" s="1"/>
  <c r="C4" i="31"/>
  <c r="C3" i="31"/>
  <c r="E1" i="31" l="1"/>
  <c r="F1" i="31"/>
  <c r="C6" i="31" l="1"/>
  <c r="A15" i="29" s="1"/>
  <c r="D37" i="29"/>
  <c r="F22" i="25"/>
  <c r="C28" i="34" l="1"/>
  <c r="C35" i="34" s="1"/>
  <c r="C7" i="28" l="1"/>
  <c r="C2" i="31"/>
  <c r="C18" i="34" l="1"/>
  <c r="E13" i="34" s="1"/>
  <c r="B6" i="34"/>
  <c r="C6" i="34"/>
  <c r="C33" i="34"/>
  <c r="F38" i="25"/>
  <c r="E16" i="34" l="1"/>
  <c r="E17" i="34"/>
  <c r="E15" i="34"/>
  <c r="E12" i="34"/>
  <c r="E14" i="34"/>
  <c r="E19" i="34" l="1"/>
  <c r="C10" i="31"/>
  <c r="C9" i="31"/>
  <c r="C8" i="31"/>
  <c r="B9" i="29"/>
  <c r="C37" i="34" l="1"/>
  <c r="C9" i="28"/>
  <c r="C10" i="28" s="1"/>
  <c r="B23" i="34" l="1"/>
  <c r="D17" i="22" l="1"/>
  <c r="D18" i="22" s="1"/>
  <c r="D19" i="22"/>
  <c r="D11" i="22" l="1"/>
  <c r="F8" i="22" l="1"/>
  <c r="F5" i="22"/>
  <c r="F9" i="22"/>
  <c r="F10" i="22"/>
  <c r="F6" i="22"/>
  <c r="F7" i="22"/>
  <c r="F12" i="22" l="1"/>
  <c r="E19" i="22" s="1"/>
  <c r="F19" i="22" s="1"/>
  <c r="C17" i="22" l="1"/>
  <c r="F18" i="22" l="1"/>
  <c r="F17" i="22"/>
  <c r="F20" i="22" l="1"/>
  <c r="F21" i="22" s="1"/>
  <c r="F5" i="27" l="1"/>
  <c r="F2" i="27" l="1"/>
  <c r="F6" i="27"/>
  <c r="B1" i="32" s="1"/>
  <c r="A8" i="32" s="1"/>
  <c r="B8" i="32" s="1"/>
  <c r="E9" i="32" s="1"/>
  <c r="J9" i="32" l="1"/>
  <c r="J12" i="32" s="1"/>
  <c r="M9" i="32"/>
  <c r="M12" i="32" s="1"/>
  <c r="L9" i="32"/>
  <c r="L10" i="32" s="1"/>
  <c r="G9" i="32"/>
  <c r="G12" i="32" s="1"/>
  <c r="H9" i="32"/>
  <c r="C9" i="32"/>
  <c r="C12" i="32" s="1"/>
  <c r="I9" i="32"/>
  <c r="I11" i="32" s="1"/>
  <c r="D9" i="32"/>
  <c r="E11" i="32" s="1"/>
  <c r="N9" i="32"/>
  <c r="N11" i="32" s="1"/>
  <c r="K9" i="32"/>
  <c r="K11" i="32" s="1"/>
  <c r="F9" i="32"/>
  <c r="F11" i="32" s="1"/>
  <c r="H11" i="32" l="1"/>
  <c r="C11" i="32"/>
  <c r="C10" i="32"/>
  <c r="D11" i="32"/>
  <c r="I12" i="32"/>
  <c r="J11" i="32"/>
  <c r="N10" i="32"/>
  <c r="K10" i="32"/>
  <c r="K12" i="32" s="1"/>
  <c r="I10" i="32"/>
  <c r="H10" i="32"/>
  <c r="H12" i="32" s="1"/>
  <c r="F12" i="32"/>
  <c r="M10" i="32"/>
  <c r="G10" i="32"/>
  <c r="D10" i="32"/>
  <c r="D12" i="32"/>
  <c r="G11" i="32"/>
  <c r="M11" i="32"/>
  <c r="L12" i="32"/>
  <c r="F10" i="32"/>
  <c r="E10" i="32"/>
  <c r="E12" i="32" s="1"/>
  <c r="J10" i="32"/>
  <c r="L11" i="32"/>
  <c r="B13" i="32" l="1"/>
  <c r="B2" i="32" s="1"/>
  <c r="B3" i="32" l="1"/>
  <c r="A7" i="27" s="1"/>
</calcChain>
</file>

<file path=xl/sharedStrings.xml><?xml version="1.0" encoding="utf-8"?>
<sst xmlns="http://schemas.openxmlformats.org/spreadsheetml/2006/main" count="741" uniqueCount="470">
  <si>
    <t>Địa chỉ</t>
  </si>
  <si>
    <t>Tài sản so sánh 1</t>
  </si>
  <si>
    <t>Tài sản so sánh 2</t>
  </si>
  <si>
    <t>Tài sản so sánh 3</t>
  </si>
  <si>
    <t>Nguồn tham khảo</t>
  </si>
  <si>
    <t>Thông tin liên lạc</t>
  </si>
  <si>
    <t>Pháp lý</t>
  </si>
  <si>
    <t>STT</t>
  </si>
  <si>
    <t>Yếu tố so sánh</t>
  </si>
  <si>
    <t>Đơn vị tính</t>
  </si>
  <si>
    <t>Tài sản thẩm định</t>
  </si>
  <si>
    <t>A</t>
  </si>
  <si>
    <t>Đồng</t>
  </si>
  <si>
    <t>B</t>
  </si>
  <si>
    <t>C</t>
  </si>
  <si>
    <t>Điều chỉnh các yếu tố so sánh</t>
  </si>
  <si>
    <t>C1</t>
  </si>
  <si>
    <t>Tỷ lệ điều chỉnh</t>
  </si>
  <si>
    <t>%</t>
  </si>
  <si>
    <t>Mức điều chỉnh</t>
  </si>
  <si>
    <t>C2</t>
  </si>
  <si>
    <t>C3</t>
  </si>
  <si>
    <t>C4</t>
  </si>
  <si>
    <t>C5</t>
  </si>
  <si>
    <t>C6</t>
  </si>
  <si>
    <t>D</t>
  </si>
  <si>
    <t xml:space="preserve">Mức giá chỉ dẫn </t>
  </si>
  <si>
    <t>D1</t>
  </si>
  <si>
    <t xml:space="preserve">Đồng </t>
  </si>
  <si>
    <t>D2</t>
  </si>
  <si>
    <t>E</t>
  </si>
  <si>
    <t>Tổng hợp các số liệu điều chỉnh tại mục C</t>
  </si>
  <si>
    <t>E1</t>
  </si>
  <si>
    <t>Tổng giá trị điều chỉnh gộp</t>
  </si>
  <si>
    <t>E2</t>
  </si>
  <si>
    <t>Tổng số lần điều chỉnh</t>
  </si>
  <si>
    <t>Lần</t>
  </si>
  <si>
    <t>E3</t>
  </si>
  <si>
    <t>Biên độ điều chỉnh</t>
  </si>
  <si>
    <t>E4</t>
  </si>
  <si>
    <t xml:space="preserve">Tổng giá trị điều chỉnh thuần </t>
  </si>
  <si>
    <t>Tỷ lệ % CLCL</t>
  </si>
  <si>
    <t>Hạng mục</t>
  </si>
  <si>
    <r>
      <t>Đơn giá (đồng/m</t>
    </r>
    <r>
      <rPr>
        <b/>
        <vertAlign val="superscript"/>
        <sz val="11"/>
        <color theme="1"/>
        <rFont val="Times New Roman"/>
        <family val="1"/>
        <charset val="163"/>
      </rPr>
      <t>2</t>
    </r>
    <r>
      <rPr>
        <b/>
        <sz val="11"/>
        <color theme="1"/>
        <rFont val="Times New Roman"/>
        <family val="1"/>
        <charset val="163"/>
      </rPr>
      <t>)</t>
    </r>
  </si>
  <si>
    <t>Tổng cộng</t>
  </si>
  <si>
    <t>Vị trí</t>
  </si>
  <si>
    <t xml:space="preserve">Giá trị trung bình </t>
  </si>
  <si>
    <t>Mức độ chênh lệch</t>
  </si>
  <si>
    <t>Móng</t>
  </si>
  <si>
    <t>Tường</t>
  </si>
  <si>
    <t>Nền, sàn</t>
  </si>
  <si>
    <t>Kết cấu đỡ mái</t>
  </si>
  <si>
    <t>Mái</t>
  </si>
  <si>
    <t>C7</t>
  </si>
  <si>
    <t>C8</t>
  </si>
  <si>
    <t>C9</t>
  </si>
  <si>
    <t>Làm tròn</t>
  </si>
  <si>
    <t>Tình trạng giao dịch</t>
  </si>
  <si>
    <t>Tính chất giao dịch</t>
  </si>
  <si>
    <t>Giao dịch bình thường trên thị trường</t>
  </si>
  <si>
    <t>Hình dáng thửa đất</t>
  </si>
  <si>
    <t>Lợi thế kinh doanh</t>
  </si>
  <si>
    <t>I. TÀI SẢN; ĐẶC ĐIỂM CỦA TÀI SẢN THẨM ĐỊNH GIÁ</t>
  </si>
  <si>
    <t>Tên tài sản</t>
  </si>
  <si>
    <t>1.</t>
  </si>
  <si>
    <t>-</t>
  </si>
  <si>
    <t>Địa chỉ:</t>
  </si>
  <si>
    <t>Diện tích (m²):</t>
  </si>
  <si>
    <t>Hình thức sử dụng:</t>
  </si>
  <si>
    <t>Mục đích sử dụng:</t>
  </si>
  <si>
    <t>Thời hạn sử dụng:</t>
  </si>
  <si>
    <t>Nguồn gốc sử dụng:</t>
  </si>
  <si>
    <t>2.</t>
  </si>
  <si>
    <t>Về đất:</t>
  </si>
  <si>
    <t>2.1</t>
  </si>
  <si>
    <t>Vị trí tài sản thẩm định trên bản đồ vệ tinh</t>
  </si>
  <si>
    <t>Đường tiếp giáp:</t>
  </si>
  <si>
    <t>Số mặt tiền:</t>
  </si>
  <si>
    <t>Các cạnh tiếp giáp</t>
  </si>
  <si>
    <t>2.2.</t>
  </si>
  <si>
    <t>Diện tích; Kích thước; Hình dáng</t>
  </si>
  <si>
    <t>Hình dáng</t>
  </si>
  <si>
    <t>2.3.</t>
  </si>
  <si>
    <t>Cấp điện, cấp nước sạch, mạng internet,…hoàn thiện</t>
  </si>
  <si>
    <t>Đời sống dân cư:</t>
  </si>
  <si>
    <t>Ổn định</t>
  </si>
  <si>
    <t>3.</t>
  </si>
  <si>
    <t>Tài sản gắn liền với đất</t>
  </si>
  <si>
    <t>Nhà 2 tầng, tầng 2 là mái tôn</t>
  </si>
  <si>
    <t>- 01 Ngôi nhà 2 tầng, tầng 2 là mái tôn có diện tích 11,5m²;
- Hiện trạng: Đang sử dụng bình thường, tường có một vài vết nứt và bị rêu mốc, trần nhà có vết nứt một vài vị trí và bị ố nhiều chỗ. Nhà có dấu hiệu xuống cấp.</t>
  </si>
  <si>
    <t>Công trình phụ</t>
  </si>
  <si>
    <t>- Gian công trình phụ có thể tích 2,21m²;
- Hiện trạng: Đang sử dụng bình thường, tường bị mốc đen, một vài vị trí bị nứt, có dấu hiệu xuống cấp.</t>
  </si>
  <si>
    <t>Mái tôn</t>
  </si>
  <si>
    <t>- Mái lợp tôn có diện tích 41,59m²;
- Hiện trạng: Đã cũ, có nhiều chỗ gỉ sét.</t>
  </si>
  <si>
    <t>Sân</t>
  </si>
  <si>
    <t>- Sân lát gạch đỏ có diện tích 18,77m²;
- Hiện trạng: Bề mặt gạch đã cũ, nhiều vị trí bị bong rộp, có dấu hiệu xuống cấp.</t>
  </si>
  <si>
    <t>TSSS1</t>
  </si>
  <si>
    <t>TSSS2</t>
  </si>
  <si>
    <t>TSSS3</t>
  </si>
  <si>
    <t>TSTĐ</t>
  </si>
  <si>
    <t>Mục đích sử dụng</t>
  </si>
  <si>
    <t>Giao thông</t>
  </si>
  <si>
    <t>Có Giấy chứng nhận Quyền sử dụng đất</t>
  </si>
  <si>
    <t>Thông tin về tài sản</t>
  </si>
  <si>
    <t>ĐẶC ĐIỂM BĐS</t>
  </si>
  <si>
    <t>Mặt tiền (m)</t>
  </si>
  <si>
    <t>Tài sản trên đất</t>
  </si>
  <si>
    <t>Số tầng</t>
  </si>
  <si>
    <t>Giá thương lượng/bán (đồng)</t>
  </si>
  <si>
    <t>Giá rao (đồng)</t>
  </si>
  <si>
    <t>Chi tiết tính toán</t>
  </si>
  <si>
    <t>Giá trị đất (đồng)</t>
  </si>
  <si>
    <t>Chiều rộng đường (m):</t>
  </si>
  <si>
    <t>Môi trường trong lành, an ninh đảm bảo, dân trí tốt</t>
  </si>
  <si>
    <t>Điều kiện kinh doanh; Hạ tầng nội bộ; Hạ tầng xung quanh</t>
  </si>
  <si>
    <t>Hạ tầng nội bộ:</t>
  </si>
  <si>
    <t>Hạ tầng xung quanh:</t>
  </si>
  <si>
    <t>Mật độ dân cư:</t>
  </si>
  <si>
    <t>Lợi thế kinh doanh:</t>
  </si>
  <si>
    <t>Khả năng chuyển nhượng:</t>
  </si>
  <si>
    <t>Nhà biệt thự 2 tầng</t>
  </si>
  <si>
    <t>TT</t>
  </si>
  <si>
    <t>Tên kết cấu chính</t>
  </si>
  <si>
    <t>Tỷ lệ giá trị các kết cấu chính (%)</t>
  </si>
  <si>
    <t>Tỷ lệ chất lượng còn lại các kết cấu chính (%)</t>
  </si>
  <si>
    <t>Tỷ lệ giá trị còn lại các kết cấu chính (%)</t>
  </si>
  <si>
    <t>a</t>
  </si>
  <si>
    <t>b</t>
  </si>
  <si>
    <t>c</t>
  </si>
  <si>
    <t>d</t>
  </si>
  <si>
    <t>e = c x d/g</t>
  </si>
  <si>
    <t>Khung, cột</t>
  </si>
  <si>
    <t>Tổng cộng (g)</t>
  </si>
  <si>
    <t>Tỷ lệ chất lượng còn lại:</t>
  </si>
  <si>
    <t xml:space="preserve">Công trình xây dựng trên đất </t>
  </si>
  <si>
    <t>Đang giao dịch</t>
  </si>
  <si>
    <t>SSD riêng thực tế:</t>
  </si>
  <si>
    <t>Tốt</t>
  </si>
  <si>
    <t>Thửa đất số:</t>
  </si>
  <si>
    <t>Tờ bản đồ số:</t>
  </si>
  <si>
    <t>3.2</t>
  </si>
  <si>
    <t>Nhà thờ</t>
  </si>
  <si>
    <t>1 tầng</t>
  </si>
  <si>
    <t>Diện tích xây dựng 60m, diện tích sàn sử dụng 60 m2
- Kết cấu: Móng bê tông cốt gỗ, tường xây gạch trát vôi vữa lăn sơn, sàn lát gạch đỏ, xung quanh có xây tường bao quanh phía sau, phía trước là hệ thống khung gỗ, mái lợp ngói đỏ
- Hiện trạng: Công trình xây dựng mới được hoàn thành xây dựng tầm giữa năm 2020
- Mục đích sử dụng: Làm nhà thờ</t>
  </si>
  <si>
    <t>- Hướng Đông: Là hướng chính tiếp giáp mặt đường liên thôn rộng khoảng 5m
- Hướng Nam và Bắc: Giáp thửa đất liền kề
- Hướng Tây: Giáp mặt ngõ nội bộ rộng khoảng 2,5m</t>
  </si>
  <si>
    <r>
      <t>Diện tích 
(m</t>
    </r>
    <r>
      <rPr>
        <b/>
        <vertAlign val="superscript"/>
        <sz val="11"/>
        <color theme="1"/>
        <rFont val="Times New Roman"/>
        <family val="1"/>
        <charset val="163"/>
      </rPr>
      <t>2</t>
    </r>
    <r>
      <rPr>
        <b/>
        <sz val="11"/>
        <color theme="1"/>
        <rFont val="Times New Roman"/>
        <family val="1"/>
        <charset val="163"/>
      </rPr>
      <t>)</t>
    </r>
  </si>
  <si>
    <t>Hệ số 
(%)</t>
  </si>
  <si>
    <t>Thành tiền 
(đồng)</t>
  </si>
  <si>
    <t xml:space="preserve">Giá trị quyền sử dụng đất ở theo GCN số BC223680 </t>
  </si>
  <si>
    <t>Giá trị quyền sử dụng đất ở theo GCN số và BH 914294</t>
  </si>
  <si>
    <t>Theo quy định tại khoản 3 Điều 126 Luật Đất đai 2013, đất thương mại dịch vụ được các cá nhân, hộ gia đình, tổ chức sử dụng do được Nhà nước giao đất, cho thuê đất hoặc được phê duyệt dự án đầu tư thì thời hạn sử dụng đất không quá 50 năm.</t>
  </si>
  <si>
    <t>=</t>
  </si>
  <si>
    <t>Giá đất của thời hạn thuê 50 năm</t>
  </si>
  <si>
    <t>x</t>
  </si>
  <si>
    <t xml:space="preserve">Thời hạn thuê đất </t>
  </si>
  <si>
    <t>(năm)</t>
  </si>
  <si>
    <t>Thời hạn thuê đất 50 năm</t>
  </si>
  <si>
    <t>Hạng Mục</t>
  </si>
  <si>
    <t>Diện tích</t>
  </si>
  <si>
    <t>Đơn giá</t>
  </si>
  <si>
    <t>Thành Tiền</t>
  </si>
  <si>
    <t>Bằng chữ: Năm trăm sáu mươi mốt tỷ hai trăm hai mươi hai  triệu đồng./.</t>
  </si>
  <si>
    <t>46,5 năm</t>
  </si>
  <si>
    <t>70 năm</t>
  </si>
  <si>
    <t>Căn cứ vào quyết định số: Số: 37/2019/QĐ-UBND ngày 20/12/2019 thì đất sử dụng có thời hạn được tính tương ứng với thời hạn sử dụng đất là 70 năm.</t>
  </si>
  <si>
    <t>Điều chỉnh về đất sản xuất kinh doanh: Căn cứ vào quyết định số: Số: 37/2019/QĐ-UBND ngày 20/12/2019 thì đơn giá đất thương mại dịch vụ so với đất ở theo quy định của nhà nước bẳng:  85% đơn giá đất ở cùng vị trí tương đương</t>
  </si>
  <si>
    <t>Gía trị quyền sử dụng đất theo Giấy chứng nhận QSDĐ số CI 011798</t>
  </si>
  <si>
    <t>Gía trị quyền sử dụng đất theo Giấy chứng nhận QSDĐ số CT 913116</t>
  </si>
  <si>
    <t>Giá đất của thời hạn 46,5 năm</t>
  </si>
  <si>
    <t>PHIẾU ĐIỀU TRA, KHẢO SÁT TÀI SẢN THẨM ĐỊNH</t>
  </si>
  <si>
    <t>Người khảo sát</t>
  </si>
  <si>
    <t>Thẩm định viên</t>
  </si>
  <si>
    <t>PHIẾU ĐIỀU TRA, KHẢO SÁT TÀI SẢN SO SÁNH</t>
  </si>
  <si>
    <t>Tài sản</t>
  </si>
  <si>
    <t>Đơn giá (đồng/m²)</t>
  </si>
  <si>
    <t>Thành tiền (đồng)</t>
  </si>
  <si>
    <t>TỔNG CỘNG:</t>
  </si>
  <si>
    <t>HỒ SƠ THẨM ĐỊNH GIÁ</t>
  </si>
  <si>
    <t>Tên hồ sơ</t>
  </si>
  <si>
    <t>Số hiệu hồ sơ</t>
  </si>
  <si>
    <t>Ngày lập hồ sơ</t>
  </si>
  <si>
    <t>Ngày lưu trữ hồ sơ</t>
  </si>
  <si>
    <t>:</t>
  </si>
  <si>
    <t>DANH MỤC CÁC TÀI LIỆU KÈM THEO</t>
  </si>
  <si>
    <t>1. Kế hoạch thẩm định giá</t>
  </si>
  <si>
    <t>2. Hợp đồng, thanh lý thẩm định giá</t>
  </si>
  <si>
    <t>3. Chứng thư thẩm định giá</t>
  </si>
  <si>
    <t>4. Báo cáo kết quả thẩm định giá</t>
  </si>
  <si>
    <t>5. Hồ sơ pháp lý, Biên bản khảo sát kèm theo</t>
  </si>
  <si>
    <t>Số:</t>
  </si>
  <si>
    <t>KẾ HOẠCH THẨM ĐỊNH GIÁ</t>
  </si>
  <si>
    <t>Kính gửi:</t>
  </si>
  <si>
    <t>Chúng tôi xin thông báo nhân sự và kế hoạch làm việc như sau:</t>
  </si>
  <si>
    <t>Thời gian làm việc</t>
  </si>
  <si>
    <t xml:space="preserve">2. </t>
  </si>
  <si>
    <t>Nhân sự</t>
  </si>
  <si>
    <t>Họ và tên</t>
  </si>
  <si>
    <t>Chức vụ</t>
  </si>
  <si>
    <t>Công việc thực hiện</t>
  </si>
  <si>
    <t>Ông Vũ Văn Quân</t>
  </si>
  <si>
    <t>Bà Doãn Thị Thùy Dung</t>
  </si>
  <si>
    <t>Chủ tịch HĐQT</t>
  </si>
  <si>
    <t>Trợ lý Thẩm định viên</t>
  </si>
  <si>
    <t>Chỉ đạo chung</t>
  </si>
  <si>
    <t>Phụ trách trực tiếp, soát xét kết quả</t>
  </si>
  <si>
    <t>Tổng hợp kết quả, lên dự thảo</t>
  </si>
  <si>
    <t>Khảo sát tài sản</t>
  </si>
  <si>
    <t>Thời gian khảo sát và thu thập hồ sơ cần thiết: 1 ngày</t>
  </si>
  <si>
    <t>Thời gian dự kiến bắt đầu khảo sát: 1 ngày</t>
  </si>
  <si>
    <t>Thời gian xác định giá trị tài sản: 1 ngày</t>
  </si>
  <si>
    <t>Thời gian lập báo cáo và soát xét kết quả: 1 ngày</t>
  </si>
  <si>
    <t>Phát hành báo cáo chứng thư: 1 ngày (Sau khi đã thống nhất kết quả).</t>
  </si>
  <si>
    <t>Xin trân trọng cảm ơn!</t>
  </si>
  <si>
    <t>Người lập</t>
  </si>
  <si>
    <t>Vũ Văn Quân</t>
  </si>
  <si>
    <t>Đề nghị Quý đơn vị bố trí cán bộ hướng dẫn, hỗ trợ đi khảo sát cùng chúng tôi, kết hợp đầu mối cung cấp hồ sơ tài liệu và ký biên bản khảo sát hiện trạng.</t>
  </si>
  <si>
    <t>Mã số</t>
  </si>
  <si>
    <t>Ngày phát hành chứng thư</t>
  </si>
  <si>
    <t>Ngày</t>
  </si>
  <si>
    <t>Tháng</t>
  </si>
  <si>
    <t>Năm</t>
  </si>
  <si>
    <t>(Bản gốc)</t>
  </si>
  <si>
    <t>(Bản sao)</t>
  </si>
  <si>
    <t>Ngày ký hợp đồng</t>
  </si>
  <si>
    <t>Số cần đọc là:</t>
  </si>
  <si>
    <t>Bằng chữ:</t>
  </si>
  <si>
    <t>Đọc thành tiền:</t>
  </si>
  <si>
    <t>Bảng dưới đây có thể copy sang 1 sheet để ẩn:</t>
  </si>
  <si>
    <t>Hệ số (%)</t>
  </si>
  <si>
    <t>Làm tròn:</t>
  </si>
  <si>
    <t>Vị trí; Giao thông;</t>
  </si>
  <si>
    <t>Khoảng cách đến trục đường chính:</t>
  </si>
  <si>
    <t>Giá trị tài sản gắn liền đất = Nguyên giá x Tỷ lệ chất lượng còn lại</t>
  </si>
  <si>
    <t>Tỷ lệ chất lượng còn lại</t>
  </si>
  <si>
    <t>Diện tích sàn xây dựng (m²)</t>
  </si>
  <si>
    <t>Nguyên giá = Diện tích sàn xây dựng x Đơn giá</t>
  </si>
  <si>
    <t>Giá trị</t>
  </si>
  <si>
    <t>DANH MỤC</t>
  </si>
  <si>
    <t>TÊN KẾT CẤU CHÍNH</t>
  </si>
  <si>
    <t>Phương pháp chuyên gia:</t>
  </si>
  <si>
    <t>+ Tổ thẩm định lựa chọn số năm khấu hao (năm)</t>
  </si>
  <si>
    <t>25-50</t>
  </si>
  <si>
    <t>+ Niên hạn sử dụng theo Thông tư số 45/2013/TT-BTC ngày 25/4/2013 (năm)</t>
  </si>
  <si>
    <t>+ Năm xây dựng và đưa vào sử dụng:</t>
  </si>
  <si>
    <t>+ Năm thẩm định giá:</t>
  </si>
  <si>
    <t>Phương pháp tuổi đời:</t>
  </si>
  <si>
    <t>-          Căn cứ hồ sơ pháp lý của tài sản thẩm định thì thời gian sử dụng còn lại của tài sản là 46,5 năm.</t>
  </si>
  <si>
    <t>Thời điểm thu thập thông tin</t>
  </si>
  <si>
    <t>Đất ở tại nông thôn</t>
  </si>
  <si>
    <t>Số hợp đồng</t>
  </si>
  <si>
    <t>Số chứng thư</t>
  </si>
  <si>
    <t>Hệ số điều chỉnh vùng</t>
  </si>
  <si>
    <t>Đơn giá áp dụng</t>
  </si>
  <si>
    <t>Suất vốn đầu tư theo QĐ 65</t>
  </si>
  <si>
    <t>Số báo cáo</t>
  </si>
  <si>
    <t>Ngân hàng:</t>
  </si>
  <si>
    <t>Cán bộ phụ trách:</t>
  </si>
  <si>
    <t>SĐT:</t>
  </si>
  <si>
    <t>Khách hàng:</t>
  </si>
  <si>
    <t>SĐT liên hệ:</t>
  </si>
  <si>
    <t>Tên Công ty:</t>
  </si>
  <si>
    <t>Ghi chú:</t>
  </si>
  <si>
    <t>Những thay đổi sau khi cấp giấy chứng nhận:</t>
  </si>
  <si>
    <t>NHẬN XÉT</t>
  </si>
  <si>
    <t>Ông Nguyễn Đức Thọ</t>
  </si>
  <si>
    <t>Nhà 1 tầng khu bếp</t>
  </si>
  <si>
    <t>Lâu dài</t>
  </si>
  <si>
    <t>đơn giá</t>
  </si>
  <si>
    <t>tổng giá trị</t>
  </si>
  <si>
    <t>Thôn bò hữu bằng thạch thất hà nội</t>
  </si>
  <si>
    <t>Thôn yên lạc, cần kiệm, thạch thất, hà nội</t>
  </si>
  <si>
    <t xml:space="preserve">Diện tích </t>
  </si>
  <si>
    <t>Tổng giá trị</t>
  </si>
  <si>
    <t>Lưu Xá, Đức Giang, Hoài Đức, Hà Nội</t>
  </si>
  <si>
    <t>KT mặt tiền (m):</t>
  </si>
  <si>
    <t xml:space="preserve">Mặt hậu (m): </t>
  </si>
  <si>
    <t xml:space="preserve">Tài sản </t>
  </si>
  <si>
    <t xml:space="preserve">Thành tiền </t>
  </si>
  <si>
    <t>Diện tích m2</t>
  </si>
  <si>
    <t>Đơn giá (đồng)</t>
  </si>
  <si>
    <t>Ven QL1A thôn Tiêu Sơn, Tương Giang, Từ Sơn</t>
  </si>
  <si>
    <t>Hưng Phúc, Tương Giang, Từ Sơn</t>
  </si>
  <si>
    <t>Tam Sơn, Từ Sơn</t>
  </si>
  <si>
    <t xml:space="preserve">Tổng giá trị </t>
  </si>
  <si>
    <t>phí 13tr5</t>
  </si>
  <si>
    <t>cả VAT</t>
  </si>
  <si>
    <t>Công trình xây dựng được chứng nhận</t>
  </si>
  <si>
    <t>note lại</t>
  </si>
  <si>
    <t>Ông Lê Thanh Tùng</t>
  </si>
  <si>
    <t>Lê Thanh Tùng</t>
  </si>
  <si>
    <t>04.100122.1.A021</t>
  </si>
  <si>
    <t>12/01/2022</t>
  </si>
  <si>
    <t xml:space="preserve">Khu đô thị dệt may Nam Định, Trần Đăng Ninh, TP Nam Định </t>
  </si>
  <si>
    <t>Đất ở tại đô thị</t>
  </si>
  <si>
    <t>Nhà 6 tầng</t>
  </si>
  <si>
    <r>
      <t>Diện tích
(m</t>
    </r>
    <r>
      <rPr>
        <b/>
        <sz val="12"/>
        <rFont val="Calibri"/>
        <family val="2"/>
      </rPr>
      <t>²</t>
    </r>
    <r>
      <rPr>
        <b/>
        <sz val="12"/>
        <rFont val="Times New Roman"/>
        <family val="1"/>
      </rPr>
      <t>)</t>
    </r>
  </si>
  <si>
    <t>Nội dung theo Hồ sơ pháp lý</t>
  </si>
  <si>
    <t>1.1.</t>
  </si>
  <si>
    <t>1.2.</t>
  </si>
  <si>
    <t xml:space="preserve">Nhà ở </t>
  </si>
  <si>
    <t>Chia ra khoảng 215tr/m2 đất</t>
  </si>
  <si>
    <t>Thửa đất</t>
  </si>
  <si>
    <t xml:space="preserve">Loại nhà ở </t>
  </si>
  <si>
    <t>Diện tích xây dựng (m²):</t>
  </si>
  <si>
    <t>Diện tích sàn (m2)</t>
  </si>
  <si>
    <t>Cấp (hạng)</t>
  </si>
  <si>
    <r>
      <rPr>
        <b/>
        <i/>
        <u/>
        <sz val="12"/>
        <color theme="1"/>
        <rFont val="Times New Roman"/>
        <family val="1"/>
      </rPr>
      <t xml:space="preserve">Ghi chú: </t>
    </r>
    <r>
      <rPr>
        <i/>
        <sz val="12"/>
        <color theme="1"/>
        <rFont val="Times New Roman"/>
        <family val="1"/>
      </rPr>
      <t xml:space="preserve">Kết quả tính toán sơ bộ này đưa ra để khách hàng tham khảo dựa trên Hồ sơ pháp lý khách hàng cung cấp, chúng tôi chưa thực hiện khảo sát hiện trạng. Kết quả này chưa phải là kết quả cuối cùng và có thể thay đổi dựa trên tình hình khảo sát hiện trạng tài sản. </t>
    </r>
  </si>
  <si>
    <t xml:space="preserve">Sử dụng riêng </t>
  </si>
  <si>
    <t xml:space="preserve">Trục chính làng, bán tầm cuối năm ngoái </t>
  </si>
  <si>
    <t>S=95m2, MT:5m</t>
  </si>
  <si>
    <t xml:space="preserve">đường 2 ô tô tải tránh </t>
  </si>
  <si>
    <t>Bán khảong tỷ 2</t>
  </si>
  <si>
    <t xml:space="preserve">Có lán xưởng </t>
  </si>
  <si>
    <t>https://alonhadat.com.vn/ban-gap-199m2-dat-tai-phu-luu-trung-nghia-yen-phong-bac-ninh-9944497.html</t>
  </si>
  <si>
    <t>S=199m2 MT 14m</t>
  </si>
  <si>
    <t>Đường vào khoảng 3,5-4m</t>
  </si>
  <si>
    <t xml:space="preserve">rao 2,48 tỷ </t>
  </si>
  <si>
    <t xml:space="preserve">12,5tr </t>
  </si>
  <si>
    <t>https://batdongsan.com.vn/ban-nha-rieng-duong-286-xa-trung-nghia-2/chinh-chu-ban-2-tang-thon-phu-luu-yen-phong-bac-ninh-pr30840308</t>
  </si>
  <si>
    <t xml:space="preserve">S=98m2, nhà 2 tầng </t>
  </si>
  <si>
    <t xml:space="preserve">đường vào 2,5m </t>
  </si>
  <si>
    <t xml:space="preserve">bán được 1,6 tỷ </t>
  </si>
  <si>
    <t xml:space="preserve">thôn phù lưu </t>
  </si>
  <si>
    <t>7,2tr</t>
  </si>
  <si>
    <t>11,9tr</t>
  </si>
  <si>
    <t>Nhận chuyển nhượng đất được Nhà nước giao đất có thu tiền sử dụng đất.</t>
  </si>
  <si>
    <t>Xã Thụy Hòa, huyện Yên Phong, tỉnh Bắc Ninh</t>
  </si>
  <si>
    <t>Chuyển nhượng toàn bộ quyền sử dụng đất cho ông Phạm Đình Nên, sinh năm 1978, CCCD số 001078023790 và vợ là Bà Nguyễn Thị Hằng, sinh năm 1986, CCCD số 001186024956, cả hai ông bà cùng có hộ khẩu thường trú tại Thôn Dộc, xã Bình Minh, huyện Thanh Oai, thành phố Hà Nội theo hồ sơ sô 2225000009BD.</t>
  </si>
  <si>
    <t>Nhà 2 tầng</t>
  </si>
  <si>
    <t>Giá sau điều chỉnh</t>
  </si>
  <si>
    <t>Đường bê tông</t>
  </si>
  <si>
    <t>Nhà biệt thự</t>
  </si>
  <si>
    <t>Thông tin người ký</t>
  </si>
  <si>
    <t>Số chứng thư:</t>
  </si>
  <si>
    <t>hợp đồng ngày 22/04/2023</t>
  </si>
  <si>
    <t>ngày phát hành: 24/04/2023</t>
  </si>
  <si>
    <t>Năm hoàn thành xây dựng:</t>
  </si>
  <si>
    <t xml:space="preserve">Kết cấu: </t>
  </si>
  <si>
    <t xml:space="preserve">Chiều dài nhất (m): </t>
  </si>
  <si>
    <t>LÀM TRÒN</t>
  </si>
  <si>
    <t>Số tờ, số thửa và sơ đồ sẽ được điều chỉnh khi có bản đồ địa chính chính quy. Thửa đất này được tách ra từ thửa đất số 261 tờ bản đồ số 01, tại Giấy chứng nhận số BK 658372 do UBND huyện Thanh Oai cấp ngày 28/12/2012; theo hồ sơ số 1625000035TT.2016</t>
  </si>
  <si>
    <t>Giấy chứng nhận quyền sử dụng đất</t>
  </si>
  <si>
    <t>1 mặt tiền</t>
  </si>
  <si>
    <t>AK 854606</t>
  </si>
  <si>
    <t>H.00998</t>
  </si>
  <si>
    <t>UBND Huyện Thanh Oai</t>
  </si>
  <si>
    <t>22/01/2008</t>
  </si>
  <si>
    <t>Ông Dương Văn Khang</t>
  </si>
  <si>
    <t>04</t>
  </si>
  <si>
    <t>Thôn Trình Xá, Xã Đỗ Động, Huyện Thanh Oai, tỉnh Hà Tây (nay là thành phố Hà Nội)</t>
  </si>
  <si>
    <t>Nhận thừa kế QSD đất của bà Nguyễn Thị Ý.</t>
  </si>
  <si>
    <t>2m</t>
  </si>
  <si>
    <t>2,1m</t>
  </si>
  <si>
    <t>20m</t>
  </si>
  <si>
    <t>17m</t>
  </si>
  <si>
    <t>Nhà cấp 4</t>
  </si>
  <si>
    <t>Thưa thớt</t>
  </si>
  <si>
    <t>Kém</t>
  </si>
  <si>
    <t>Khá vuông vức</t>
  </si>
  <si>
    <t>Tài sản nằm tại thôn Trình Xá, Đỗ Động. Cách đường Đỗ Động khoảng 60m, cách trường Tiểu học, THCS Đỗ Động khoảng 210m, cách QL21B khoảng 1,9km</t>
  </si>
  <si>
    <t>176 m2</t>
  </si>
  <si>
    <t>131,5m2</t>
  </si>
  <si>
    <t>83m2</t>
  </si>
  <si>
    <t>https://www.google.com/maps/dir//20.8550418,105.7593041/@20.8520034,105.7565886,2072m/data=!3m1!1e3!4m2!4m1!3e0?entry=ttu</t>
  </si>
  <si>
    <t>Link vị trí TSSS 2</t>
  </si>
  <si>
    <t xml:space="preserve">Link vị trí TSSS 1 </t>
  </si>
  <si>
    <t>Link vị trí TSSS 3</t>
  </si>
  <si>
    <t>https://www.google.com/maps/dir//20.8494936,105.7770811/@20.8493891,105.775888,366m/data=!3m1!1e3!4m2!4m1!3e0?entry=ttu</t>
  </si>
  <si>
    <t>https://www.google.com/maps/place/20%C2%B050'53.6%22N+105%C2%B046'51.7%22E/@20.8491689,105.7805587,616m/data=!3m1!1e3!4m4!3m3!8m2!3d20.8482075!4d105.7810135?entry=ttu</t>
  </si>
  <si>
    <t>https://www.google.com/maps/place/20%C2%B050'38.3%22N+105%C2%B047'03.0%22E/@20.8451159,105.7652957,3484m/data=!3m1!1e3!4m4!3m3!8m2!3d20.8439722!4d105.7841667?entry=ttu</t>
  </si>
  <si>
    <t>Nguyễn Kim Ngọc</t>
  </si>
  <si>
    <t>Nguyễn Đình Kiên</t>
  </si>
  <si>
    <t>Hà Nội, ngày 15 tháng 06 năm 2023</t>
  </si>
  <si>
    <t>06</t>
  </si>
  <si>
    <t>23</t>
  </si>
  <si>
    <t>15</t>
  </si>
  <si>
    <t>19.160623.A.A027/CT-VFI</t>
  </si>
  <si>
    <t>ÔNG DƯƠNG VĂN KHANG</t>
  </si>
  <si>
    <t>Văn Quán, xã Đỗ Động, Huyện Thanh Oai, thành phố Hà Nội</t>
  </si>
  <si>
    <t>Đất cụm công nghiệp</t>
  </si>
  <si>
    <t>Liên hệ trực tiếp</t>
  </si>
  <si>
    <t xml:space="preserve">Đang giao dịch </t>
  </si>
  <si>
    <t>Thời hạn sử dụng đất</t>
  </si>
  <si>
    <t>Tổng diện tích đất (m²)</t>
  </si>
  <si>
    <t>Số lượng mặt tiếp giáp</t>
  </si>
  <si>
    <t>Yếu tố phong thủy</t>
  </si>
  <si>
    <t>Không lỗi phong thủy</t>
  </si>
  <si>
    <t>Điều kiện cơ sở hạ tầng kỹ thuật</t>
  </si>
  <si>
    <t>Điều kiện môi trường an ninh</t>
  </si>
  <si>
    <t>Diện tích sàn sử dụng (m²)</t>
  </si>
  <si>
    <t>Giá trị tài sản trên đất (đồng)</t>
  </si>
  <si>
    <t>Đơn giá xây dựng theo Quyết định số 510/QĐ-BXD ngày 19/5/2023 của Bộ Xây Dựng (đồng/m²)</t>
  </si>
  <si>
    <t>Đơn giá QSDĐ (đồng/m²)</t>
  </si>
  <si>
    <t>Giá trị QSDĐ thị trường (Ước tính sau thương lượng)</t>
  </si>
  <si>
    <t>Đồng/m²</t>
  </si>
  <si>
    <t>m2</t>
  </si>
  <si>
    <t>m</t>
  </si>
  <si>
    <t>C13</t>
  </si>
  <si>
    <t>C15</t>
  </si>
  <si>
    <t>min</t>
  </si>
  <si>
    <t>đồng/m²</t>
  </si>
  <si>
    <t>·         Căn cứ vào yêu cầu thẩm định giá thời điểm xác định giá trị tài sản thẩm định là: 06/2021.</t>
  </si>
  <si>
    <t>-          Theo điểm c, khoản 2, điều 3, thông tư số 77/2014/TT- BTC ngày 16 tháng 6 năm 2014 của Bộ Tài Chính hướng dẫn một số điều của Nghị định số 46/2014/NĐ-CP ngày 15 tháng 5 năm 2014 của Chính phủ quy định về thu tiền thuê đất, thuê mặt nước, thì đơn giá đất của tài sản thẩm định cho khoảng thời gian 46,5 năm còn lại được tính theo công thức:</t>
  </si>
  <si>
    <t>`21,675,000 đồng/m²</t>
  </si>
  <si>
    <t xml:space="preserve"> đồng/m²</t>
  </si>
  <si>
    <t>max</t>
  </si>
  <si>
    <t>Mức giá chỉ dẫn của các TSSS</t>
  </si>
  <si>
    <t>Trọng số của các TSSS sau điều chỉnh</t>
  </si>
  <si>
    <t>Giá trị trung bình của mức giá chỉ dẫn sau điều chỉnh</t>
  </si>
  <si>
    <t>Giá trị bình quân theo trọng số:</t>
  </si>
  <si>
    <t>Đất trống</t>
  </si>
  <si>
    <t>Bình thường</t>
  </si>
  <si>
    <t>SĐT: 0909 437 832</t>
  </si>
  <si>
    <t>https://www.agribank.com.vn/vn/ty-gia</t>
  </si>
  <si>
    <t>Nhà xưởng</t>
  </si>
  <si>
    <t>5% - 8%</t>
  </si>
  <si>
    <t>0% - 5%</t>
  </si>
  <si>
    <t>2% - 10%</t>
  </si>
  <si>
    <t>Cụm Công nghiệp Âu Lâu, thôn Châu Giang, xã Âu Lâu, thành phố Yên Bái, tỉnh Yên Bái</t>
  </si>
  <si>
    <t>02/2070</t>
  </si>
  <si>
    <t>Tiếp giáp trục chính đường nội bộ Cụm Công nghiệp</t>
  </si>
  <si>
    <t>15m + vỉa hè</t>
  </si>
  <si>
    <t>2 mặt tiền</t>
  </si>
  <si>
    <t>Đa giác</t>
  </si>
  <si>
    <t>Phù hợp để kinh doanh</t>
  </si>
  <si>
    <t>HTKT hoàn thiện trong Cụm công nghiệp</t>
  </si>
  <si>
    <t>SĐT: 0983656695</t>
  </si>
  <si>
    <t>Tháng 06/2026</t>
  </si>
  <si>
    <t>8m + vỉa hè</t>
  </si>
  <si>
    <t>SĐT: 0889109999</t>
  </si>
  <si>
    <t>07/2069</t>
  </si>
  <si>
    <t>Thóp hậu</t>
  </si>
  <si>
    <t>HTKT chưa hoàn thiện trong Cụm công nghiệp, chưa san lấp mặt bằng, chưa có hạ tầng điện nước và hạ tầng thoát nước. Chưa làm đường</t>
  </si>
  <si>
    <t>HTKT chưa hoàn thiện trong Cụm công nghiệp, chưa san lấp mặt bằng, chưa có hạ tầng điện nước và hạ tầng thoát nước. Đã làm đường</t>
  </si>
  <si>
    <t>Tiếp giáp đường nội khu trong Cụm Công nghiệp</t>
  </si>
  <si>
    <t xml:space="preserve">BẢNG XÁC ĐỊNH GIÁ TRỊ TÀI SẢN LÀ  MÁY MÓC THIẾT BỊ </t>
  </si>
  <si>
    <t>ĐVT</t>
  </si>
  <si>
    <t>SL</t>
  </si>
  <si>
    <t xml:space="preserve"> GTHĐ, CLTG </t>
  </si>
  <si>
    <t>Số Tờ khai/Hóa đơn</t>
  </si>
  <si>
    <t>Ngày TK/hóa đơn</t>
  </si>
  <si>
    <t>Thời điểm thẩm định giá</t>
  </si>
  <si>
    <t>Tỷ lệ CLCL theo PP chuyên gia (%)</t>
  </si>
  <si>
    <t>Tuổi đời kinh tế (tháng)</t>
  </si>
  <si>
    <t>Tuổi đời hiệu quả (tháng)</t>
  </si>
  <si>
    <t>Tỷ lệ CLCL (%)</t>
  </si>
  <si>
    <t>Giá trị thẩm định ước tính (đồng)</t>
  </si>
  <si>
    <t>000000037</t>
  </si>
  <si>
    <t>TỔNG CỘNG</t>
  </si>
  <si>
    <t>HT</t>
  </si>
  <si>
    <t>Lò hơi</t>
  </si>
  <si>
    <t>20/10/2025</t>
  </si>
  <si>
    <t>17/11/2025</t>
  </si>
  <si>
    <t>11/11/2025</t>
  </si>
  <si>
    <t>07/11/2025</t>
  </si>
  <si>
    <t>27/10/2025</t>
  </si>
  <si>
    <t>Nguyên giá chưa thuế</t>
  </si>
  <si>
    <t>Số Hoá đơn</t>
  </si>
  <si>
    <t>Ngày hoá đơn</t>
  </si>
  <si>
    <t>Tổng</t>
  </si>
  <si>
    <t>TÊN TÀI SẢN</t>
  </si>
  <si>
    <t>ĐƠN GIÁ</t>
  </si>
  <si>
    <t>GIÁ TRỊ THẨM ĐỊNH</t>
  </si>
  <si>
    <t>(Bằng chữ: Bốn mươi bốn tỷ, chín trăm bốn mươi tám triệu đồng ./.)</t>
  </si>
  <si>
    <t>Máy móc thiết bị phục vụ hoạt động sản xuất kinh doanh của Công ty TNHH Quốc tế Giấy Việt</t>
  </si>
  <si>
    <t>HỆ SỐ/ CLCL (%)</t>
  </si>
  <si>
    <t>Đất Cụm công nghiệp</t>
  </si>
  <si>
    <t>Quyền sử dụng đất tại thửa đất số: 298 tờ bản đồ số: 5 (Mảnh đo đạc chỉnh lý bản đồ địa chính số 109 - 2022) có địa chỉ: Cụm Công nghiệp Âu Lâu, thôn Châu Giang, xã Âu Lâu, thành phố Yên Bái, tỉnh Yên Bái (nay là phường Âu Lâu, tỉnh Lào Cai) theo Giấy chứng nhận quyền sử dụng đất, Quyền sở hữu nhà ở và tài sản khác gắn liền với đất số: DĐ 885905, số vào sổ cấp GCN: CT 04013 do UBND tỉnh Yên Bái cấp ngày 02/06/2023; Chủ sử dụng đất là Công ty TNHH Ngành gỗ Hồng Nguyên Việt Nam</t>
  </si>
  <si>
    <t>BẢNG TỔNG HỢP KẾT QUẢ THẨM ĐỊNH GIÁ</t>
  </si>
  <si>
    <t>Thời điểm Thẩm định giá: Tháng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</si>
</sst>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00\ _₫_-;\-* #,##0.00\ _₫_-;_-* &quot;-&quot;??\ _₫_-;_-@_-"/>
    <numFmt numFmtId="165" formatCode="_-* #,##0.00_-;\-* #,##0.00_-;_-* &quot;-&quot;??_-;_-@_-"/>
    <numFmt numFmtId="166" formatCode="_-* #,##0\ _₫_-;\-* #,##0\ _₫_-;_-* &quot;-&quot;??\ _₫_-;_-@_-"/>
    <numFmt numFmtId="167" formatCode="_-* #,##0_-;\-* #,##0_-;_-* &quot;-&quot;??_-;_-@_-"/>
    <numFmt numFmtId="168" formatCode="#,##0_ ;\-#,##0\ "/>
    <numFmt numFmtId="169" formatCode="0.0%"/>
    <numFmt numFmtId="170" formatCode="_(* #,##0_);_(* \(#,##0\);_(* &quot;-&quot;??_);_(@_)"/>
    <numFmt numFmtId="171" formatCode="0.0"/>
    <numFmt numFmtId="172" formatCode="_-* #,##0.0_-;\-* #,##0.0_-;_-* &quot;-&quot;??_-;_-@_-"/>
    <numFmt numFmtId="173" formatCode="#,##0.0"/>
    <numFmt numFmtId="174" formatCode="0_);\(0\)"/>
    <numFmt numFmtId="175" formatCode="_-* #,##0.0\ _₫_-;\-* #,##0.0\ _₫_-;_-* &quot;-&quot;??\ _₫_-;_-@_-"/>
    <numFmt numFmtId="176" formatCode="_(* #,##0.000_);_(* \(#,##0.000\);_(* &quot;-&quot;??_);_(@_)"/>
    <numFmt numFmtId="177" formatCode="#,##0;[Red]#,##0"/>
    <numFmt numFmtId="178" formatCode="_(* #,##0.0_);_(* \(#,##0.0\);_(* &quot;-&quot;??_);_(@_)"/>
    <numFmt numFmtId="179" formatCode="_(* #,##0.0_);_(* \(#,##0.0\);_(* &quot;-&quot;?_);_(@_)"/>
    <numFmt numFmtId="180" formatCode="dd/mm/yy;@"/>
    <numFmt numFmtId="185" formatCode="_(* #,##0_);_(* \(#,##0\);_(* &quot;-&quot;?_);_(@_)"/>
  </numFmts>
  <fonts count="61">
    <font>
      <sz val="12"/>
      <color theme="1"/>
      <name val="Times New Roman"/>
      <family val="2"/>
    </font>
    <font>
      <sz val="11"/>
      <color theme="1"/>
      <name val="Calibri"/>
      <family val="2"/>
      <scheme val="minor"/>
    </font>
    <font>
      <sz val="12"/>
      <color theme="1"/>
      <name val="Times New Roman"/>
      <family val="2"/>
    </font>
    <font>
      <sz val="11"/>
      <name val="Times New Roman"/>
      <family val="1"/>
    </font>
    <font>
      <b/>
      <sz val="11"/>
      <name val="Times New Roman"/>
      <family val="1"/>
    </font>
    <font>
      <u/>
      <sz val="11"/>
      <color indexed="12"/>
      <name val="Arial"/>
      <family val="2"/>
    </font>
    <font>
      <sz val="11"/>
      <color indexed="8"/>
      <name val="Times New Roman"/>
      <family val="1"/>
    </font>
    <font>
      <sz val="12"/>
      <name val="Times New Roman"/>
      <family val="1"/>
    </font>
    <font>
      <sz val="11"/>
      <color rgb="FF000000"/>
      <name val="Times New Roman"/>
      <family val="1"/>
    </font>
    <font>
      <b/>
      <sz val="11"/>
      <color theme="1"/>
      <name val="Times New Roman"/>
      <family val="1"/>
      <charset val="163"/>
    </font>
    <font>
      <b/>
      <vertAlign val="superscript"/>
      <sz val="11"/>
      <color theme="1"/>
      <name val="Times New Roman"/>
      <family val="1"/>
      <charset val="163"/>
    </font>
    <font>
      <sz val="11"/>
      <color theme="1"/>
      <name val="Times New Roman"/>
      <family val="1"/>
      <charset val="163"/>
    </font>
    <font>
      <sz val="11"/>
      <name val="Times New Roman"/>
      <family val="1"/>
      <charset val="163"/>
    </font>
    <font>
      <sz val="11"/>
      <color theme="1"/>
      <name val="Times New Roman"/>
      <family val="1"/>
    </font>
    <font>
      <b/>
      <sz val="11"/>
      <color indexed="8"/>
      <name val="Times New Roman"/>
      <family val="1"/>
    </font>
    <font>
      <sz val="11.5"/>
      <color indexed="8"/>
      <name val="Times New Roman"/>
      <family val="1"/>
    </font>
    <font>
      <sz val="11"/>
      <color theme="1"/>
      <name val="Calibri"/>
      <family val="2"/>
      <charset val="163"/>
      <scheme val="minor"/>
    </font>
    <font>
      <b/>
      <sz val="12"/>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8"/>
      <name val="Times New Roman"/>
      <family val="2"/>
    </font>
    <font>
      <b/>
      <sz val="13"/>
      <color theme="1"/>
      <name val="Times New Roman"/>
      <family val="1"/>
    </font>
    <font>
      <i/>
      <sz val="13"/>
      <color theme="1"/>
      <name val="Times New Roman"/>
      <family val="1"/>
    </font>
    <font>
      <sz val="13"/>
      <color theme="1"/>
      <name val="Times New Roman"/>
      <family val="1"/>
    </font>
    <font>
      <sz val="13"/>
      <color rgb="FF000000"/>
      <name val="Times New Roman"/>
      <family val="1"/>
    </font>
    <font>
      <b/>
      <sz val="13"/>
      <color rgb="FF000000"/>
      <name val="Times New Roman"/>
      <family val="1"/>
    </font>
    <font>
      <i/>
      <sz val="12"/>
      <color theme="1"/>
      <name val="Times New Roman"/>
      <family val="1"/>
    </font>
    <font>
      <b/>
      <sz val="12"/>
      <name val="Times New Roman"/>
      <family val="1"/>
    </font>
    <font>
      <u/>
      <sz val="11"/>
      <color theme="10"/>
      <name val="Arial"/>
      <family val="2"/>
      <charset val="163"/>
    </font>
    <font>
      <u/>
      <sz val="11"/>
      <color theme="10"/>
      <name val="Calibri"/>
      <family val="2"/>
      <scheme val="minor"/>
    </font>
    <font>
      <b/>
      <i/>
      <sz val="12"/>
      <color theme="1"/>
      <name val="Times New Roman"/>
      <family val="1"/>
    </font>
    <font>
      <b/>
      <sz val="16"/>
      <color theme="1"/>
      <name val="Times New Roman"/>
      <family val="1"/>
    </font>
    <font>
      <b/>
      <i/>
      <u/>
      <sz val="12"/>
      <color theme="1"/>
      <name val="Times New Roman"/>
      <family val="1"/>
    </font>
    <font>
      <sz val="12"/>
      <color indexed="8"/>
      <name val="Times New Roman"/>
      <family val="2"/>
    </font>
    <font>
      <sz val="11"/>
      <color indexed="8"/>
      <name val="Calibri"/>
      <family val="2"/>
    </font>
    <font>
      <b/>
      <sz val="12"/>
      <color indexed="8"/>
      <name val="Times New Roman"/>
      <family val="1"/>
    </font>
    <font>
      <b/>
      <i/>
      <sz val="12"/>
      <color rgb="FFFF0000"/>
      <name val="Times New Roman"/>
      <family val="1"/>
    </font>
    <font>
      <b/>
      <i/>
      <sz val="12"/>
      <color theme="8"/>
      <name val="Times New Roman"/>
      <family val="1"/>
    </font>
    <font>
      <sz val="10"/>
      <name val="Arial"/>
      <family val="2"/>
    </font>
    <font>
      <sz val="10"/>
      <name val="Times New Roman"/>
      <family val="2"/>
      <charset val="163"/>
    </font>
    <font>
      <sz val="10"/>
      <name val="VNI-Times"/>
    </font>
    <font>
      <b/>
      <sz val="11"/>
      <color indexed="12"/>
      <name val="Times New Roman"/>
      <family val="1"/>
    </font>
    <font>
      <sz val="11"/>
      <color indexed="12"/>
      <name val="Times New Roman"/>
      <family val="1"/>
    </font>
    <font>
      <sz val="10"/>
      <name val=".VnArial"/>
      <family val="2"/>
    </font>
    <font>
      <u/>
      <sz val="12"/>
      <color theme="10"/>
      <name val="Times New Roman"/>
      <family val="1"/>
    </font>
    <font>
      <sz val="11"/>
      <color rgb="FFFF0000"/>
      <name val="Times New Roman"/>
      <family val="1"/>
    </font>
    <font>
      <b/>
      <sz val="11"/>
      <color theme="1"/>
      <name val="Times New Roman"/>
      <family val="1"/>
    </font>
    <font>
      <b/>
      <sz val="12"/>
      <name val="Calibri"/>
      <family val="2"/>
    </font>
    <font>
      <sz val="12"/>
      <color theme="0"/>
      <name val="Times New Roman"/>
      <family val="1"/>
    </font>
    <font>
      <sz val="12"/>
      <color rgb="FF222222"/>
      <name val="Times New Roman"/>
      <family val="1"/>
    </font>
    <font>
      <sz val="15"/>
      <color rgb="FF001A33"/>
      <name val="Helvetica Neue"/>
      <family val="2"/>
    </font>
    <font>
      <sz val="13"/>
      <color theme="1"/>
      <name val="Times New Roman"/>
      <family val="2"/>
    </font>
    <font>
      <b/>
      <i/>
      <sz val="12"/>
      <color theme="1"/>
      <name val="Calibri"/>
      <family val="2"/>
      <scheme val="minor"/>
    </font>
    <font>
      <b/>
      <sz val="13"/>
      <color rgb="FF001A33"/>
      <name val="times"/>
      <family val="1"/>
    </font>
    <font>
      <sz val="11"/>
      <color theme="1"/>
      <name val="Cambria"/>
      <family val="1"/>
      <scheme val="major"/>
    </font>
    <font>
      <sz val="12"/>
      <color theme="1"/>
      <name val="Cambria"/>
      <family val="1"/>
      <scheme val="major"/>
    </font>
    <font>
      <u/>
      <sz val="11"/>
      <color indexed="12"/>
      <name val="Times New Roman"/>
      <family val="1"/>
    </font>
    <font>
      <sz val="11"/>
      <color rgb="FF001A33"/>
      <name val="Times New Roman"/>
      <family val="1"/>
    </font>
    <font>
      <b/>
      <sz val="18"/>
      <color theme="1"/>
      <name val="Times New Roman"/>
      <family val="1"/>
    </font>
    <font>
      <sz val="12"/>
      <color rgb="FFFF0000"/>
      <name val="Times New Roman"/>
      <family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52"/>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theme="6"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alignment vertical="top"/>
      <protection locked="0"/>
    </xf>
    <xf numFmtId="0" fontId="16" fillId="0" borderId="0"/>
    <xf numFmtId="164" fontId="16"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9" fontId="1" fillId="0" borderId="0" applyFont="0" applyFill="0" applyBorder="0" applyAlignment="0" applyProtection="0"/>
    <xf numFmtId="0" fontId="13" fillId="0" borderId="0"/>
    <xf numFmtId="43" fontId="35" fillId="0" borderId="0" applyFont="0" applyFill="0" applyBorder="0" applyAlignment="0" applyProtection="0"/>
    <xf numFmtId="0" fontId="39" fillId="0" borderId="0"/>
    <xf numFmtId="0" fontId="41" fillId="0" borderId="0"/>
    <xf numFmtId="0" fontId="44" fillId="0" borderId="0"/>
    <xf numFmtId="165" fontId="2" fillId="0" borderId="0" applyFont="0" applyFill="0" applyBorder="0" applyAlignment="0" applyProtection="0"/>
    <xf numFmtId="165" fontId="1" fillId="0" borderId="0" applyFont="0" applyFill="0" applyBorder="0" applyAlignment="0" applyProtection="0"/>
    <xf numFmtId="165" fontId="35" fillId="0" borderId="0" applyFont="0" applyFill="0" applyBorder="0" applyAlignment="0" applyProtection="0"/>
    <xf numFmtId="0" fontId="19" fillId="0" borderId="0"/>
    <xf numFmtId="0" fontId="19" fillId="0" borderId="0"/>
    <xf numFmtId="164" fontId="39" fillId="0" borderId="0" applyFont="0" applyFill="0" applyBorder="0" applyAlignment="0" applyProtection="0"/>
    <xf numFmtId="0" fontId="39" fillId="0" borderId="0"/>
    <xf numFmtId="0" fontId="39" fillId="0" borderId="0"/>
  </cellStyleXfs>
  <cellXfs count="492">
    <xf numFmtId="0" fontId="0" fillId="0" borderId="0" xfId="0"/>
    <xf numFmtId="0" fontId="11" fillId="0" borderId="1" xfId="0" applyFont="1" applyBorder="1" applyAlignment="1">
      <alignment vertical="center" wrapText="1"/>
    </xf>
    <xf numFmtId="0" fontId="12" fillId="0" borderId="1" xfId="0" applyFont="1" applyBorder="1" applyAlignment="1">
      <alignment horizontal="center" vertical="center" wrapText="1"/>
    </xf>
    <xf numFmtId="3" fontId="13" fillId="0" borderId="1" xfId="0" applyNumberFormat="1" applyFont="1" applyBorder="1" applyAlignment="1">
      <alignment horizontal="right" vertical="center"/>
    </xf>
    <xf numFmtId="9" fontId="11" fillId="0" borderId="1" xfId="0" applyNumberFormat="1" applyFont="1" applyBorder="1" applyAlignment="1">
      <alignment horizontal="center" vertical="center" wrapText="1"/>
    </xf>
    <xf numFmtId="3" fontId="11" fillId="0" borderId="1" xfId="0" applyNumberFormat="1" applyFont="1" applyBorder="1" applyAlignment="1">
      <alignment horizontal="right" vertical="center" wrapText="1"/>
    </xf>
    <xf numFmtId="3" fontId="14" fillId="0" borderId="1" xfId="0" applyNumberFormat="1" applyFont="1" applyBorder="1" applyAlignment="1">
      <alignment horizontal="right"/>
    </xf>
    <xf numFmtId="0" fontId="6" fillId="0" borderId="0" xfId="0" applyFont="1"/>
    <xf numFmtId="3" fontId="14" fillId="0" borderId="1" xfId="0" applyNumberFormat="1" applyFont="1" applyBorder="1"/>
    <xf numFmtId="170" fontId="6" fillId="0" borderId="0" xfId="0" applyNumberFormat="1" applyFont="1"/>
    <xf numFmtId="170" fontId="6" fillId="0" borderId="0" xfId="1" applyNumberFormat="1" applyFont="1"/>
    <xf numFmtId="0" fontId="18" fillId="0" borderId="0" xfId="4" applyFont="1"/>
    <xf numFmtId="0" fontId="17" fillId="0" borderId="0" xfId="4" applyFont="1" applyAlignment="1">
      <alignment horizontal="left"/>
    </xf>
    <xf numFmtId="0" fontId="17" fillId="0" borderId="1" xfId="4" applyFont="1" applyBorder="1" applyAlignment="1">
      <alignment horizontal="center" vertical="center" wrapText="1"/>
    </xf>
    <xf numFmtId="0" fontId="18" fillId="0" borderId="1" xfId="4" applyFont="1" applyBorder="1" applyAlignment="1">
      <alignment horizontal="center" vertical="center" wrapText="1"/>
    </xf>
    <xf numFmtId="43" fontId="18" fillId="0" borderId="0" xfId="4" applyNumberFormat="1" applyFont="1"/>
    <xf numFmtId="0" fontId="17" fillId="0" borderId="0" xfId="4" applyFont="1" applyAlignment="1">
      <alignment vertical="center" wrapText="1"/>
    </xf>
    <xf numFmtId="0" fontId="18" fillId="0" borderId="0" xfId="4" applyFont="1" applyAlignment="1">
      <alignment vertical="center" wrapText="1"/>
    </xf>
    <xf numFmtId="0" fontId="18" fillId="0" borderId="7" xfId="4" applyFont="1" applyBorder="1"/>
    <xf numFmtId="0" fontId="18" fillId="0" borderId="8" xfId="4" applyFont="1" applyBorder="1" applyAlignment="1">
      <alignment horizontal="center" vertical="center" wrapText="1"/>
    </xf>
    <xf numFmtId="0" fontId="18" fillId="0" borderId="0" xfId="4" applyFont="1" applyAlignment="1">
      <alignment horizontal="left" vertical="center" wrapText="1"/>
    </xf>
    <xf numFmtId="0" fontId="18" fillId="0" borderId="0" xfId="4" applyFont="1" applyAlignment="1">
      <alignment horizontal="center" vertical="center" wrapText="1"/>
    </xf>
    <xf numFmtId="0" fontId="20" fillId="0" borderId="0" xfId="0" applyFont="1"/>
    <xf numFmtId="0" fontId="19" fillId="0" borderId="0" xfId="0" applyFont="1"/>
    <xf numFmtId="0" fontId="22" fillId="0" borderId="1" xfId="4" applyFont="1" applyBorder="1" applyAlignment="1">
      <alignment horizontal="center" vertical="center" wrapText="1"/>
    </xf>
    <xf numFmtId="0" fontId="23" fillId="0" borderId="1" xfId="4" applyFont="1" applyBorder="1" applyAlignment="1">
      <alignment horizontal="center" vertical="center" wrapText="1"/>
    </xf>
    <xf numFmtId="0" fontId="24" fillId="0" borderId="1" xfId="4" applyFont="1" applyBorder="1" applyAlignment="1">
      <alignment horizontal="center" vertical="center"/>
    </xf>
    <xf numFmtId="0" fontId="24" fillId="0" borderId="1" xfId="4" applyFont="1" applyBorder="1" applyAlignment="1">
      <alignment horizontal="left" vertical="center"/>
    </xf>
    <xf numFmtId="9" fontId="15" fillId="0" borderId="1" xfId="0" applyNumberFormat="1" applyFont="1" applyBorder="1" applyAlignment="1">
      <alignment horizontal="center" vertical="center"/>
    </xf>
    <xf numFmtId="9" fontId="25" fillId="0" borderId="1" xfId="4" applyNumberFormat="1" applyFont="1" applyBorder="1" applyAlignment="1">
      <alignment horizontal="center" vertical="center" wrapText="1"/>
    </xf>
    <xf numFmtId="0" fontId="25" fillId="0" borderId="1" xfId="4" applyFont="1" applyBorder="1" applyAlignment="1">
      <alignment horizontal="center" vertical="center" wrapText="1"/>
    </xf>
    <xf numFmtId="9" fontId="26" fillId="0" borderId="1" xfId="4" applyNumberFormat="1" applyFont="1" applyBorder="1" applyAlignment="1">
      <alignment horizontal="center" vertical="center" wrapText="1"/>
    </xf>
    <xf numFmtId="0" fontId="26" fillId="0" borderId="0" xfId="4" applyFont="1" applyAlignment="1">
      <alignment vertical="center" wrapText="1"/>
    </xf>
    <xf numFmtId="0" fontId="25" fillId="0" borderId="0" xfId="4" applyFont="1" applyAlignment="1">
      <alignment horizontal="center" vertical="center" wrapText="1"/>
    </xf>
    <xf numFmtId="9" fontId="26" fillId="0" borderId="0" xfId="4" applyNumberFormat="1" applyFont="1" applyAlignment="1">
      <alignment horizontal="center" vertical="center" wrapText="1"/>
    </xf>
    <xf numFmtId="0" fontId="17" fillId="0" borderId="1" xfId="4" applyFont="1" applyBorder="1" applyAlignment="1">
      <alignment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7" fillId="0" borderId="1" xfId="4" quotePrefix="1" applyFont="1" applyBorder="1" applyAlignment="1">
      <alignment vertical="center" wrapText="1"/>
    </xf>
    <xf numFmtId="0" fontId="17" fillId="0" borderId="0" xfId="4" applyFont="1" applyAlignment="1">
      <alignment horizontal="center" vertical="center" wrapText="1"/>
    </xf>
    <xf numFmtId="0" fontId="17" fillId="0" borderId="0" xfId="4" applyFont="1"/>
    <xf numFmtId="0" fontId="17" fillId="0" borderId="0" xfId="4" applyFont="1" applyAlignment="1">
      <alignment horizontal="center"/>
    </xf>
    <xf numFmtId="0" fontId="17" fillId="0" borderId="0" xfId="4" applyFont="1" applyAlignment="1">
      <alignment vertical="center"/>
    </xf>
    <xf numFmtId="0" fontId="1" fillId="0" borderId="0" xfId="7"/>
    <xf numFmtId="0" fontId="28" fillId="2" borderId="1" xfId="7" applyFont="1" applyFill="1" applyBorder="1" applyAlignment="1">
      <alignment horizontal="center" vertical="center" wrapText="1"/>
    </xf>
    <xf numFmtId="3" fontId="7" fillId="2" borderId="1" xfId="7" applyNumberFormat="1" applyFont="1" applyFill="1" applyBorder="1" applyAlignment="1">
      <alignment horizontal="right" vertical="center" wrapText="1"/>
    </xf>
    <xf numFmtId="0" fontId="7" fillId="2" borderId="1" xfId="7" quotePrefix="1" applyFont="1" applyFill="1" applyBorder="1" applyAlignment="1">
      <alignment horizontal="center" vertical="center" wrapText="1"/>
    </xf>
    <xf numFmtId="0" fontId="7" fillId="2" borderId="1" xfId="7" applyFont="1" applyFill="1" applyBorder="1" applyAlignment="1">
      <alignment horizontal="left" vertical="center" wrapText="1"/>
    </xf>
    <xf numFmtId="3" fontId="17" fillId="0" borderId="1" xfId="7" applyNumberFormat="1" applyFont="1" applyBorder="1" applyAlignment="1">
      <alignment horizontal="right" vertical="center"/>
    </xf>
    <xf numFmtId="0" fontId="18" fillId="0" borderId="1" xfId="7" applyFont="1" applyBorder="1" applyAlignment="1">
      <alignment vertical="center"/>
    </xf>
    <xf numFmtId="0" fontId="17" fillId="0" borderId="1" xfId="7" applyFont="1" applyBorder="1" applyAlignment="1">
      <alignment vertical="center"/>
    </xf>
    <xf numFmtId="0" fontId="18" fillId="0" borderId="0" xfId="0" applyFont="1" applyAlignment="1">
      <alignment horizontal="left" vertical="center"/>
    </xf>
    <xf numFmtId="0" fontId="17" fillId="0" borderId="0" xfId="0" applyFont="1" applyAlignment="1">
      <alignment vertical="center"/>
    </xf>
    <xf numFmtId="0" fontId="18" fillId="0" borderId="0" xfId="0" quotePrefix="1" applyFont="1" applyAlignment="1">
      <alignment horizontal="left" vertical="center"/>
    </xf>
    <xf numFmtId="0" fontId="17" fillId="0" borderId="0" xfId="0" applyFont="1" applyAlignment="1">
      <alignment horizontal="left" vertical="center"/>
    </xf>
    <xf numFmtId="0" fontId="17" fillId="0" borderId="1" xfId="0" applyFont="1" applyBorder="1" applyAlignment="1">
      <alignment horizontal="center" vertical="center"/>
    </xf>
    <xf numFmtId="0" fontId="0" fillId="0" borderId="0" xfId="0" applyAlignment="1">
      <alignment vertical="center"/>
    </xf>
    <xf numFmtId="0" fontId="17" fillId="0" borderId="0" xfId="0" applyFont="1" applyAlignment="1">
      <alignment horizontal="center" vertical="center"/>
    </xf>
    <xf numFmtId="0" fontId="0" fillId="0" borderId="1" xfId="0" applyBorder="1" applyAlignment="1">
      <alignment vertical="center"/>
    </xf>
    <xf numFmtId="0" fontId="33" fillId="0" borderId="0" xfId="0" applyFont="1" applyAlignment="1">
      <alignment vertical="center"/>
    </xf>
    <xf numFmtId="0" fontId="27" fillId="0" borderId="0" xfId="0" applyFont="1" applyAlignment="1">
      <alignment vertical="center"/>
    </xf>
    <xf numFmtId="0" fontId="0" fillId="3" borderId="0" xfId="0" applyFill="1" applyAlignment="1">
      <alignment vertical="center"/>
    </xf>
    <xf numFmtId="0" fontId="34" fillId="0" borderId="0" xfId="12" applyFont="1"/>
    <xf numFmtId="170" fontId="36" fillId="0" borderId="0" xfId="13" applyNumberFormat="1" applyFont="1" applyAlignment="1">
      <alignment horizontal="center"/>
    </xf>
    <xf numFmtId="0" fontId="6" fillId="0" borderId="0" xfId="12" applyFont="1" applyAlignment="1">
      <alignment horizontal="center"/>
    </xf>
    <xf numFmtId="170" fontId="6" fillId="0" borderId="0" xfId="13" applyNumberFormat="1" applyFont="1"/>
    <xf numFmtId="170" fontId="6" fillId="0" borderId="0" xfId="13" applyNumberFormat="1" applyFont="1" applyAlignment="1">
      <alignment horizontal="center"/>
    </xf>
    <xf numFmtId="0" fontId="6" fillId="0" borderId="0" xfId="12" applyFont="1"/>
    <xf numFmtId="0" fontId="37" fillId="0" borderId="0" xfId="12" applyFont="1"/>
    <xf numFmtId="0" fontId="38" fillId="0" borderId="0" xfId="12" applyFont="1"/>
    <xf numFmtId="170" fontId="40" fillId="4" borderId="0" xfId="14" applyNumberFormat="1" applyFont="1" applyFill="1"/>
    <xf numFmtId="0" fontId="42" fillId="5" borderId="0" xfId="15" applyFont="1" applyFill="1" applyAlignment="1" applyProtection="1">
      <alignment horizontal="center"/>
      <protection hidden="1"/>
    </xf>
    <xf numFmtId="0" fontId="4" fillId="6" borderId="0" xfId="15" applyFont="1" applyFill="1" applyAlignment="1" applyProtection="1">
      <alignment horizontal="center"/>
      <protection hidden="1"/>
    </xf>
    <xf numFmtId="0" fontId="4" fillId="7" borderId="0" xfId="15" applyFont="1" applyFill="1" applyAlignment="1" applyProtection="1">
      <alignment horizontal="center"/>
      <protection hidden="1"/>
    </xf>
    <xf numFmtId="0" fontId="4" fillId="8" borderId="0" xfId="15" applyFont="1" applyFill="1" applyAlignment="1" applyProtection="1">
      <alignment horizontal="center"/>
      <protection hidden="1"/>
    </xf>
    <xf numFmtId="0" fontId="4" fillId="9" borderId="0" xfId="15" applyFont="1" applyFill="1" applyAlignment="1" applyProtection="1">
      <alignment horizontal="center"/>
      <protection hidden="1"/>
    </xf>
    <xf numFmtId="0" fontId="40" fillId="4" borderId="0" xfId="14" applyFont="1" applyFill="1"/>
    <xf numFmtId="0" fontId="3" fillId="5" borderId="0" xfId="15" applyFont="1" applyFill="1" applyProtection="1">
      <protection hidden="1"/>
    </xf>
    <xf numFmtId="0" fontId="43" fillId="6" borderId="0" xfId="15" applyFont="1" applyFill="1" applyProtection="1">
      <protection hidden="1"/>
    </xf>
    <xf numFmtId="0" fontId="43" fillId="7" borderId="0" xfId="15" applyFont="1" applyFill="1" applyProtection="1">
      <protection hidden="1"/>
    </xf>
    <xf numFmtId="0" fontId="43" fillId="8" borderId="0" xfId="15" applyFont="1" applyFill="1" applyProtection="1">
      <protection hidden="1"/>
    </xf>
    <xf numFmtId="0" fontId="43" fillId="9" borderId="0" xfId="15" applyFont="1" applyFill="1" applyProtection="1">
      <protection hidden="1"/>
    </xf>
    <xf numFmtId="0" fontId="4" fillId="4" borderId="0" xfId="14" applyFont="1" applyFill="1"/>
    <xf numFmtId="0" fontId="43" fillId="6" borderId="0" xfId="16" applyFont="1" applyFill="1" applyAlignment="1" applyProtection="1">
      <alignment horizontal="center"/>
      <protection hidden="1"/>
    </xf>
    <xf numFmtId="0" fontId="43" fillId="7" borderId="0" xfId="16" applyFont="1" applyFill="1" applyAlignment="1" applyProtection="1">
      <alignment horizontal="center"/>
      <protection hidden="1"/>
    </xf>
    <xf numFmtId="0" fontId="43" fillId="8" borderId="0" xfId="16" applyFont="1" applyFill="1" applyAlignment="1" applyProtection="1">
      <alignment horizontal="center"/>
      <protection hidden="1"/>
    </xf>
    <xf numFmtId="0" fontId="43" fillId="9" borderId="0" xfId="16" applyFont="1" applyFill="1" applyAlignment="1" applyProtection="1">
      <alignment horizontal="center"/>
      <protection hidden="1"/>
    </xf>
    <xf numFmtId="0" fontId="43" fillId="6" borderId="0" xfId="15" applyFont="1" applyFill="1" applyAlignment="1" applyProtection="1">
      <alignment horizontal="center"/>
      <protection hidden="1"/>
    </xf>
    <xf numFmtId="0" fontId="43" fillId="7" borderId="0" xfId="15" applyFont="1" applyFill="1" applyAlignment="1" applyProtection="1">
      <alignment horizontal="center"/>
      <protection hidden="1"/>
    </xf>
    <xf numFmtId="0" fontId="43" fillId="8" borderId="0" xfId="15" applyFont="1" applyFill="1" applyAlignment="1" applyProtection="1">
      <alignment horizontal="center"/>
      <protection hidden="1"/>
    </xf>
    <xf numFmtId="0" fontId="43" fillId="9" borderId="0" xfId="15" applyFont="1" applyFill="1" applyAlignment="1" applyProtection="1">
      <alignment horizontal="center"/>
      <protection hidden="1"/>
    </xf>
    <xf numFmtId="0" fontId="6" fillId="0" borderId="0" xfId="12" applyFont="1" applyAlignment="1">
      <alignment vertical="center"/>
    </xf>
    <xf numFmtId="0" fontId="3" fillId="0" borderId="0" xfId="15" applyFont="1" applyProtection="1">
      <protection hidden="1"/>
    </xf>
    <xf numFmtId="0" fontId="18" fillId="0" borderId="1" xfId="4" applyFont="1" applyBorder="1" applyAlignment="1">
      <alignment vertical="center" wrapText="1"/>
    </xf>
    <xf numFmtId="0" fontId="18" fillId="0" borderId="0" xfId="4" applyFont="1" applyAlignment="1">
      <alignment vertical="center"/>
    </xf>
    <xf numFmtId="0" fontId="45" fillId="0" borderId="0" xfId="9" applyFont="1" applyAlignment="1" applyProtection="1">
      <alignment vertical="center"/>
    </xf>
    <xf numFmtId="166" fontId="18" fillId="0" borderId="0" xfId="4" applyNumberFormat="1" applyFont="1" applyAlignment="1">
      <alignment vertical="center"/>
    </xf>
    <xf numFmtId="166" fontId="17" fillId="0" borderId="1" xfId="5" applyNumberFormat="1" applyFont="1" applyBorder="1" applyAlignment="1">
      <alignment horizontal="right" vertical="center"/>
    </xf>
    <xf numFmtId="0" fontId="17" fillId="0" borderId="1" xfId="4" applyFont="1" applyBorder="1" applyAlignment="1">
      <alignment horizontal="center" vertical="center"/>
    </xf>
    <xf numFmtId="0" fontId="18" fillId="0" borderId="1" xfId="4" applyFont="1" applyBorder="1" applyAlignment="1">
      <alignment horizontal="center" vertical="center"/>
    </xf>
    <xf numFmtId="9" fontId="20" fillId="0" borderId="1" xfId="4" applyNumberFormat="1" applyFont="1" applyBorder="1" applyAlignment="1">
      <alignment horizontal="center" vertical="center" wrapText="1"/>
    </xf>
    <xf numFmtId="0" fontId="19" fillId="0" borderId="1" xfId="4" applyFont="1" applyBorder="1" applyAlignment="1">
      <alignment horizontal="center" vertical="center" wrapText="1"/>
    </xf>
    <xf numFmtId="0" fontId="20" fillId="0" borderId="1" xfId="4" applyFont="1" applyBorder="1" applyAlignment="1">
      <alignment horizontal="center" vertical="center" wrapText="1"/>
    </xf>
    <xf numFmtId="0" fontId="20" fillId="0" borderId="1" xfId="4" applyFont="1" applyBorder="1" applyAlignment="1">
      <alignment vertical="center" wrapText="1"/>
    </xf>
    <xf numFmtId="9" fontId="19" fillId="0" borderId="1" xfId="4" applyNumberFormat="1" applyFont="1" applyBorder="1" applyAlignment="1">
      <alignment horizontal="center" vertical="center" wrapText="1"/>
    </xf>
    <xf numFmtId="9" fontId="18" fillId="0" borderId="1" xfId="11" applyFont="1" applyFill="1" applyBorder="1" applyAlignment="1">
      <alignment horizontal="center" vertical="center"/>
    </xf>
    <xf numFmtId="0" fontId="18" fillId="0" borderId="1" xfId="4" applyFont="1" applyBorder="1" applyAlignment="1">
      <alignment horizontal="left" vertical="center"/>
    </xf>
    <xf numFmtId="166" fontId="18" fillId="0" borderId="0" xfId="5" applyNumberFormat="1" applyFont="1" applyAlignment="1">
      <alignment vertical="center"/>
    </xf>
    <xf numFmtId="9" fontId="18" fillId="0" borderId="0" xfId="4" applyNumberFormat="1" applyFont="1" applyAlignment="1">
      <alignment vertical="center"/>
    </xf>
    <xf numFmtId="0" fontId="27" fillId="0" borderId="1" xfId="4" applyFont="1" applyBorder="1" applyAlignment="1">
      <alignment horizontal="center" vertical="center" wrapText="1"/>
    </xf>
    <xf numFmtId="164" fontId="18" fillId="0" borderId="0" xfId="5" applyFont="1" applyAlignment="1">
      <alignment vertical="center"/>
    </xf>
    <xf numFmtId="9" fontId="17" fillId="0" borderId="0" xfId="4" applyNumberFormat="1" applyFont="1" applyAlignment="1">
      <alignment vertical="center"/>
    </xf>
    <xf numFmtId="9" fontId="20" fillId="0" borderId="1" xfId="4" applyNumberFormat="1" applyFont="1" applyBorder="1" applyAlignment="1">
      <alignment horizontal="right" vertical="center" wrapText="1"/>
    </xf>
    <xf numFmtId="0" fontId="19" fillId="0" borderId="1" xfId="4" applyFont="1" applyBorder="1" applyAlignment="1">
      <alignment horizontal="right" vertical="center" wrapText="1"/>
    </xf>
    <xf numFmtId="0" fontId="18" fillId="0" borderId="1" xfId="4" quotePrefix="1" applyFont="1" applyBorder="1" applyAlignment="1">
      <alignment vertical="center" wrapText="1"/>
    </xf>
    <xf numFmtId="0" fontId="27" fillId="0" borderId="0" xfId="4" applyFont="1" applyAlignment="1">
      <alignment horizontal="justify" vertical="center"/>
    </xf>
    <xf numFmtId="0" fontId="3" fillId="0" borderId="1" xfId="0" applyFont="1" applyBorder="1" applyAlignment="1">
      <alignment horizontal="center" vertical="center" wrapText="1"/>
    </xf>
    <xf numFmtId="170" fontId="1" fillId="0" borderId="0" xfId="1" applyNumberFormat="1" applyFont="1"/>
    <xf numFmtId="170" fontId="0" fillId="0" borderId="0" xfId="0" applyNumberFormat="1"/>
    <xf numFmtId="170" fontId="0" fillId="0" borderId="0" xfId="1" applyNumberFormat="1" applyFont="1"/>
    <xf numFmtId="0" fontId="13" fillId="0" borderId="0" xfId="4" applyFont="1" applyAlignment="1">
      <alignment horizontal="center" vertical="center" wrapText="1"/>
    </xf>
    <xf numFmtId="0" fontId="13" fillId="0" borderId="0" xfId="4" applyFont="1" applyAlignment="1">
      <alignment vertical="center" wrapText="1"/>
    </xf>
    <xf numFmtId="0" fontId="13" fillId="0" borderId="0" xfId="4" applyFont="1"/>
    <xf numFmtId="0" fontId="18" fillId="0" borderId="0" xfId="7" applyFont="1"/>
    <xf numFmtId="49" fontId="18" fillId="0" borderId="0" xfId="7" applyNumberFormat="1" applyFont="1" applyAlignment="1">
      <alignment horizontal="center"/>
    </xf>
    <xf numFmtId="0" fontId="18" fillId="0" borderId="0" xfId="0" applyFont="1" applyAlignment="1">
      <alignment vertical="center"/>
    </xf>
    <xf numFmtId="166" fontId="17" fillId="0" borderId="1" xfId="5" applyNumberFormat="1" applyFont="1" applyBorder="1" applyAlignment="1">
      <alignment vertical="center"/>
    </xf>
    <xf numFmtId="175" fontId="18" fillId="0" borderId="1" xfId="5" applyNumberFormat="1" applyFont="1" applyBorder="1" applyAlignment="1">
      <alignment vertical="center"/>
    </xf>
    <xf numFmtId="3" fontId="18" fillId="0" borderId="1" xfId="7" applyNumberFormat="1" applyFont="1" applyBorder="1"/>
    <xf numFmtId="9" fontId="17" fillId="0" borderId="1" xfId="4" applyNumberFormat="1" applyFont="1" applyBorder="1" applyAlignment="1">
      <alignment vertical="center"/>
    </xf>
    <xf numFmtId="170" fontId="18" fillId="0" borderId="0" xfId="1" applyNumberFormat="1" applyFont="1" applyAlignment="1">
      <alignment vertical="center"/>
    </xf>
    <xf numFmtId="176" fontId="18" fillId="0" borderId="0" xfId="1" applyNumberFormat="1" applyFont="1" applyAlignment="1">
      <alignment vertical="center"/>
    </xf>
    <xf numFmtId="170" fontId="17" fillId="0" borderId="0" xfId="1" applyNumberFormat="1" applyFont="1" applyAlignment="1">
      <alignment vertical="center"/>
    </xf>
    <xf numFmtId="0" fontId="49" fillId="0" borderId="0" xfId="7" applyFont="1"/>
    <xf numFmtId="170" fontId="49" fillId="0" borderId="0" xfId="1" applyNumberFormat="1" applyFont="1" applyAlignment="1">
      <alignment horizontal="center" vertical="center"/>
    </xf>
    <xf numFmtId="170" fontId="49" fillId="0" borderId="0" xfId="1" applyNumberFormat="1" applyFont="1"/>
    <xf numFmtId="0" fontId="7" fillId="0" borderId="0" xfId="7" applyFont="1"/>
    <xf numFmtId="170" fontId="7" fillId="0" borderId="0" xfId="1" applyNumberFormat="1" applyFont="1" applyAlignment="1">
      <alignment horizontal="center" vertical="center"/>
    </xf>
    <xf numFmtId="170" fontId="7" fillId="0" borderId="0" xfId="1" applyNumberFormat="1" applyFont="1"/>
    <xf numFmtId="0" fontId="17" fillId="0" borderId="0" xfId="4" applyFont="1" applyAlignment="1">
      <alignment horizontal="left" wrapText="1"/>
    </xf>
    <xf numFmtId="0" fontId="0" fillId="3" borderId="0" xfId="0" applyFill="1" applyAlignment="1">
      <alignment horizontal="left" vertical="center"/>
    </xf>
    <xf numFmtId="49" fontId="18" fillId="3" borderId="0" xfId="7" applyNumberFormat="1" applyFont="1" applyFill="1" applyAlignment="1">
      <alignment horizontal="left"/>
    </xf>
    <xf numFmtId="49" fontId="0" fillId="0" borderId="0" xfId="0" applyNumberFormat="1" applyAlignment="1">
      <alignment vertical="center"/>
    </xf>
    <xf numFmtId="0" fontId="18" fillId="0" borderId="0" xfId="4" applyFont="1" applyAlignment="1">
      <alignment wrapText="1"/>
    </xf>
    <xf numFmtId="43" fontId="17" fillId="0" borderId="0" xfId="7" applyNumberFormat="1" applyFont="1"/>
    <xf numFmtId="0" fontId="5" fillId="0" borderId="0" xfId="3" applyAlignment="1" applyProtection="1"/>
    <xf numFmtId="3" fontId="18" fillId="0" borderId="0" xfId="4" applyNumberFormat="1" applyFont="1" applyAlignment="1">
      <alignment vertical="center"/>
    </xf>
    <xf numFmtId="170" fontId="18" fillId="0" borderId="0" xfId="1" applyNumberFormat="1" applyFont="1"/>
    <xf numFmtId="170" fontId="17" fillId="0" borderId="0" xfId="1" applyNumberFormat="1" applyFont="1"/>
    <xf numFmtId="0" fontId="17" fillId="0" borderId="1" xfId="4" applyFont="1" applyBorder="1" applyAlignment="1">
      <alignment horizontal="left" vertical="center" wrapText="1"/>
    </xf>
    <xf numFmtId="1" fontId="19" fillId="0" borderId="1" xfId="0" quotePrefix="1" applyNumberFormat="1" applyFont="1" applyBorder="1" applyAlignment="1">
      <alignment horizontal="center" vertical="center" wrapText="1"/>
    </xf>
    <xf numFmtId="0" fontId="19" fillId="0" borderId="1" xfId="0" quotePrefix="1" applyFont="1" applyBorder="1" applyAlignment="1">
      <alignment horizontal="center" vertical="center" wrapText="1"/>
    </xf>
    <xf numFmtId="0" fontId="19" fillId="0" borderId="1" xfId="0" applyFont="1" applyBorder="1" applyAlignment="1">
      <alignment vertical="center" wrapText="1"/>
    </xf>
    <xf numFmtId="0" fontId="19" fillId="0" borderId="1" xfId="0" quotePrefix="1" applyFont="1" applyBorder="1" applyAlignment="1">
      <alignment vertical="center" wrapText="1"/>
    </xf>
    <xf numFmtId="0" fontId="17" fillId="0" borderId="1" xfId="4" quotePrefix="1" applyFont="1" applyBorder="1" applyAlignment="1">
      <alignment horizontal="center" vertical="center" wrapText="1"/>
    </xf>
    <xf numFmtId="0" fontId="18" fillId="0" borderId="1" xfId="4" quotePrefix="1" applyFont="1" applyBorder="1" applyAlignment="1">
      <alignment horizontal="center" vertical="center" wrapText="1"/>
    </xf>
    <xf numFmtId="0" fontId="18" fillId="0" borderId="1" xfId="4" applyFont="1" applyBorder="1" applyAlignment="1">
      <alignment horizontal="left" vertical="center" wrapText="1"/>
    </xf>
    <xf numFmtId="0" fontId="18" fillId="0" borderId="1" xfId="4" quotePrefix="1" applyFont="1" applyBorder="1" applyAlignment="1">
      <alignment horizontal="left" vertical="center" wrapText="1"/>
    </xf>
    <xf numFmtId="0" fontId="19" fillId="0" borderId="1" xfId="0" applyFont="1" applyBorder="1" applyAlignment="1">
      <alignment horizontal="center" vertical="center" wrapText="1"/>
    </xf>
    <xf numFmtId="0" fontId="0" fillId="0" borderId="0" xfId="0" applyAlignment="1">
      <alignment horizontal="center"/>
    </xf>
    <xf numFmtId="43" fontId="0" fillId="0" borderId="0" xfId="1" applyFont="1"/>
    <xf numFmtId="43" fontId="0" fillId="0" borderId="0" xfId="0" applyNumberFormat="1"/>
    <xf numFmtId="43" fontId="17" fillId="0" borderId="0" xfId="0" applyNumberFormat="1" applyFont="1"/>
    <xf numFmtId="170" fontId="17" fillId="0" borderId="0" xfId="0" applyNumberFormat="1" applyFont="1"/>
    <xf numFmtId="0" fontId="0" fillId="0" borderId="1" xfId="0" applyBorder="1" applyAlignment="1">
      <alignment horizontal="center"/>
    </xf>
    <xf numFmtId="170" fontId="0" fillId="0" borderId="1" xfId="1" applyNumberFormat="1" applyFont="1" applyBorder="1" applyAlignment="1">
      <alignment horizontal="center"/>
    </xf>
    <xf numFmtId="0" fontId="19" fillId="0" borderId="1" xfId="0" applyFont="1" applyBorder="1" applyAlignment="1">
      <alignment horizontal="left" wrapText="1"/>
    </xf>
    <xf numFmtId="170" fontId="0" fillId="0" borderId="1" xfId="0" applyNumberFormat="1" applyBorder="1"/>
    <xf numFmtId="170" fontId="50" fillId="0" borderId="1" xfId="1" applyNumberFormat="1" applyFont="1" applyBorder="1" applyAlignment="1">
      <alignment horizontal="right"/>
    </xf>
    <xf numFmtId="170" fontId="0" fillId="0" borderId="1" xfId="1" applyNumberFormat="1" applyFont="1" applyBorder="1"/>
    <xf numFmtId="0" fontId="0" fillId="0" borderId="3" xfId="0" applyBorder="1" applyAlignment="1">
      <alignment horizontal="center"/>
    </xf>
    <xf numFmtId="0" fontId="17" fillId="0" borderId="1" xfId="0" applyFont="1" applyBorder="1" applyAlignment="1">
      <alignment horizontal="center"/>
    </xf>
    <xf numFmtId="171" fontId="18" fillId="0" borderId="1" xfId="4" applyNumberFormat="1" applyFont="1" applyBorder="1" applyAlignment="1">
      <alignment horizontal="center" vertical="center" wrapText="1"/>
    </xf>
    <xf numFmtId="0" fontId="0" fillId="0" borderId="1" xfId="0" applyBorder="1"/>
    <xf numFmtId="170" fontId="17" fillId="0" borderId="1" xfId="0" applyNumberFormat="1" applyFont="1" applyBorder="1"/>
    <xf numFmtId="0" fontId="17" fillId="3" borderId="0" xfId="7" applyFont="1" applyFill="1"/>
    <xf numFmtId="0" fontId="17" fillId="0" borderId="0" xfId="7" applyFont="1"/>
    <xf numFmtId="1" fontId="18" fillId="0" borderId="0" xfId="7" applyNumberFormat="1" applyFont="1" applyAlignment="1">
      <alignment horizontal="center"/>
    </xf>
    <xf numFmtId="49" fontId="18" fillId="3" borderId="0" xfId="7" applyNumberFormat="1" applyFont="1" applyFill="1" applyAlignment="1">
      <alignment horizontal="center"/>
    </xf>
    <xf numFmtId="174" fontId="18" fillId="0" borderId="0" xfId="1" applyNumberFormat="1" applyFont="1" applyBorder="1" applyAlignment="1">
      <alignment horizontal="center"/>
    </xf>
    <xf numFmtId="170" fontId="0" fillId="0" borderId="1" xfId="1" applyNumberFormat="1" applyFont="1" applyBorder="1" applyAlignment="1">
      <alignment vertical="center"/>
    </xf>
    <xf numFmtId="170" fontId="17" fillId="0" borderId="1" xfId="1" applyNumberFormat="1" applyFont="1" applyBorder="1"/>
    <xf numFmtId="0" fontId="17" fillId="0" borderId="1" xfId="0" applyFont="1" applyBorder="1"/>
    <xf numFmtId="170" fontId="7" fillId="2" borderId="1" xfId="6" applyNumberFormat="1" applyFont="1" applyFill="1" applyBorder="1" applyAlignment="1">
      <alignment vertical="center" wrapText="1"/>
    </xf>
    <xf numFmtId="9" fontId="7" fillId="2" borderId="1" xfId="2" applyFont="1" applyFill="1" applyBorder="1" applyAlignment="1">
      <alignment horizontal="center" vertical="center" wrapText="1"/>
    </xf>
    <xf numFmtId="173" fontId="18" fillId="0" borderId="1" xfId="6" applyNumberFormat="1" applyFont="1" applyBorder="1" applyAlignment="1">
      <alignment horizontal="center" vertical="center"/>
    </xf>
    <xf numFmtId="0" fontId="51" fillId="0" borderId="0" xfId="0" applyFont="1"/>
    <xf numFmtId="173" fontId="18" fillId="0" borderId="1" xfId="6" quotePrefix="1" applyNumberFormat="1" applyFont="1" applyBorder="1" applyAlignment="1">
      <alignment horizontal="center" vertical="center" wrapText="1"/>
    </xf>
    <xf numFmtId="0" fontId="7" fillId="2" borderId="1" xfId="7" quotePrefix="1" applyFont="1" applyFill="1" applyBorder="1" applyAlignment="1">
      <alignment horizontal="left" vertical="center" wrapText="1"/>
    </xf>
    <xf numFmtId="0" fontId="52" fillId="0" borderId="0" xfId="0" applyFont="1" applyAlignment="1">
      <alignment wrapText="1"/>
    </xf>
    <xf numFmtId="0" fontId="28" fillId="2" borderId="1" xfId="7" quotePrefix="1" applyFont="1" applyFill="1" applyBorder="1" applyAlignment="1">
      <alignment horizontal="center" vertical="center" wrapText="1"/>
    </xf>
    <xf numFmtId="3" fontId="28" fillId="2" borderId="1" xfId="7" applyNumberFormat="1" applyFont="1" applyFill="1" applyBorder="1" applyAlignment="1">
      <alignment horizontal="right" vertical="center" wrapText="1"/>
    </xf>
    <xf numFmtId="0" fontId="17" fillId="0" borderId="0" xfId="0" applyFont="1"/>
    <xf numFmtId="0" fontId="54" fillId="0" borderId="0" xfId="0" applyFont="1"/>
    <xf numFmtId="0" fontId="55" fillId="0" borderId="1" xfId="0" applyFont="1" applyBorder="1" applyAlignment="1">
      <alignment horizontal="left" vertical="center" wrapText="1"/>
    </xf>
    <xf numFmtId="0" fontId="8" fillId="0" borderId="1" xfId="0" applyFont="1" applyBorder="1" applyAlignment="1">
      <alignment horizontal="center" vertical="center" wrapText="1"/>
    </xf>
    <xf numFmtId="0" fontId="55" fillId="0" borderId="0" xfId="0" applyFont="1"/>
    <xf numFmtId="0" fontId="55" fillId="0" borderId="0" xfId="0" quotePrefix="1" applyFont="1"/>
    <xf numFmtId="14" fontId="56" fillId="0" borderId="0" xfId="4" quotePrefix="1" applyNumberFormat="1" applyFont="1" applyAlignment="1">
      <alignment horizontal="left" vertical="center"/>
    </xf>
    <xf numFmtId="0" fontId="56" fillId="0" borderId="0" xfId="4" applyFont="1"/>
    <xf numFmtId="0" fontId="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7" applyFont="1" applyBorder="1" applyAlignment="1">
      <alignment horizontal="center" vertical="center" wrapText="1"/>
    </xf>
    <xf numFmtId="3" fontId="13"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0" fontId="19" fillId="0" borderId="3" xfId="0" applyFont="1" applyBorder="1" applyAlignment="1">
      <alignment vertical="center" wrapText="1"/>
    </xf>
    <xf numFmtId="0" fontId="19" fillId="0" borderId="3" xfId="0" quotePrefix="1" applyFont="1" applyBorder="1" applyAlignment="1">
      <alignment horizontal="center" vertical="center" wrapText="1"/>
    </xf>
    <xf numFmtId="0" fontId="7" fillId="0" borderId="3" xfId="4" applyFont="1" applyBorder="1" applyAlignment="1">
      <alignment vertical="center" wrapText="1"/>
    </xf>
    <xf numFmtId="0" fontId="18" fillId="0" borderId="3" xfId="4" applyFont="1" applyBorder="1" applyAlignment="1">
      <alignment vertical="center" wrapText="1"/>
    </xf>
    <xf numFmtId="0" fontId="19" fillId="0" borderId="6" xfId="0" quotePrefix="1" applyFont="1" applyBorder="1" applyAlignment="1">
      <alignment horizontal="center" vertical="center" wrapText="1"/>
    </xf>
    <xf numFmtId="0" fontId="7" fillId="0" borderId="6" xfId="4" applyFont="1" applyBorder="1" applyAlignment="1">
      <alignment vertical="center" wrapText="1"/>
    </xf>
    <xf numFmtId="171" fontId="19" fillId="0" borderId="5" xfId="0" quotePrefix="1" applyNumberFormat="1" applyFont="1" applyBorder="1" applyAlignment="1">
      <alignment vertical="center" wrapText="1"/>
    </xf>
    <xf numFmtId="171" fontId="19" fillId="0" borderId="3" xfId="0" quotePrefix="1" applyNumberFormat="1" applyFont="1" applyBorder="1" applyAlignment="1">
      <alignment horizontal="center" vertical="center" wrapText="1"/>
    </xf>
    <xf numFmtId="0" fontId="57" fillId="0" borderId="0" xfId="3" applyFont="1" applyBorder="1" applyAlignment="1" applyProtection="1"/>
    <xf numFmtId="0" fontId="13" fillId="0" borderId="0" xfId="0" applyFont="1"/>
    <xf numFmtId="170" fontId="13" fillId="0" borderId="0" xfId="1" applyNumberFormat="1" applyFont="1" applyBorder="1"/>
    <xf numFmtId="0" fontId="47" fillId="0" borderId="0" xfId="0" applyFont="1"/>
    <xf numFmtId="0" fontId="58" fillId="0" borderId="0" xfId="0" applyFont="1" applyAlignment="1">
      <alignment horizontal="left" vertical="center"/>
    </xf>
    <xf numFmtId="0" fontId="59" fillId="0" borderId="0" xfId="0" applyFont="1" applyAlignment="1">
      <alignment horizontal="center" vertical="center" wrapText="1"/>
    </xf>
    <xf numFmtId="0" fontId="59" fillId="0" borderId="0" xfId="0" applyFont="1" applyAlignment="1">
      <alignment horizontal="center" vertical="center"/>
    </xf>
    <xf numFmtId="0" fontId="5" fillId="0" borderId="0" xfId="3" applyBorder="1" applyAlignment="1" applyProtection="1">
      <alignment horizontal="center" vertical="center" wrapText="1"/>
    </xf>
    <xf numFmtId="0" fontId="60" fillId="0" borderId="0" xfId="4" applyFont="1"/>
    <xf numFmtId="0" fontId="60" fillId="3" borderId="0" xfId="4" quotePrefix="1" applyFont="1" applyFill="1"/>
    <xf numFmtId="0" fontId="17" fillId="0" borderId="0" xfId="4" quotePrefix="1" applyFont="1" applyAlignment="1">
      <alignment horizontal="left"/>
    </xf>
    <xf numFmtId="0" fontId="17" fillId="0" borderId="0" xfId="0" applyFont="1" applyAlignment="1">
      <alignment horizontal="justify" vertical="center" wrapText="1"/>
    </xf>
    <xf numFmtId="0" fontId="18" fillId="0" borderId="0" xfId="0" applyFont="1" applyAlignment="1">
      <alignment horizontal="justify" vertical="center" wrapText="1"/>
    </xf>
    <xf numFmtId="0" fontId="18" fillId="0" borderId="0" xfId="0" applyFont="1" applyAlignment="1">
      <alignment horizontal="justify" vertical="center"/>
    </xf>
    <xf numFmtId="0" fontId="47" fillId="0" borderId="1" xfId="0" applyFont="1" applyBorder="1" applyAlignment="1">
      <alignment horizontal="center" vertical="center" wrapText="1"/>
    </xf>
    <xf numFmtId="0" fontId="46" fillId="0" borderId="1" xfId="0" applyFont="1" applyBorder="1" applyAlignment="1">
      <alignment horizontal="center" vertical="center"/>
    </xf>
    <xf numFmtId="0" fontId="13" fillId="0" borderId="0" xfId="0" applyFont="1" applyAlignment="1">
      <alignment wrapText="1"/>
    </xf>
    <xf numFmtId="0" fontId="13" fillId="0" borderId="0" xfId="0" applyFont="1" applyAlignment="1">
      <alignment horizontal="center"/>
    </xf>
    <xf numFmtId="0" fontId="13" fillId="0" borderId="0" xfId="0" applyFont="1" applyAlignment="1">
      <alignment horizontal="center" vertical="center"/>
    </xf>
    <xf numFmtId="0" fontId="47" fillId="0" borderId="1" xfId="0" applyFont="1" applyBorder="1" applyAlignment="1">
      <alignment horizontal="center" vertical="top" wrapText="1"/>
    </xf>
    <xf numFmtId="0" fontId="4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quotePrefix="1" applyFont="1" applyBorder="1" applyAlignment="1">
      <alignment horizontal="center" vertical="center"/>
    </xf>
    <xf numFmtId="0" fontId="8" fillId="0" borderId="1" xfId="0" quotePrefix="1" applyFont="1" applyBorder="1" applyAlignment="1">
      <alignment horizontal="center" vertical="center" wrapText="1"/>
    </xf>
    <xf numFmtId="164" fontId="13" fillId="0" borderId="1" xfId="1" applyNumberFormat="1" applyFont="1" applyFill="1" applyBorder="1" applyAlignment="1">
      <alignment horizontal="center" vertical="center" wrapText="1"/>
    </xf>
    <xf numFmtId="167" fontId="13" fillId="0" borderId="1" xfId="1" applyNumberFormat="1" applyFont="1" applyFill="1" applyBorder="1" applyAlignment="1">
      <alignment horizontal="center" vertical="center" wrapText="1"/>
    </xf>
    <xf numFmtId="167" fontId="13" fillId="0" borderId="1" xfId="1"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wrapText="1"/>
    </xf>
    <xf numFmtId="170" fontId="13" fillId="0" borderId="1" xfId="1" applyNumberFormat="1" applyFont="1" applyBorder="1" applyAlignment="1">
      <alignment horizontal="center" vertical="center"/>
    </xf>
    <xf numFmtId="2" fontId="13" fillId="0" borderId="1" xfId="0" applyNumberFormat="1" applyFont="1" applyBorder="1" applyAlignment="1">
      <alignment horizontal="center" vertical="center" wrapText="1"/>
    </xf>
    <xf numFmtId="2" fontId="13" fillId="0" borderId="0" xfId="0" applyNumberFormat="1" applyFont="1"/>
    <xf numFmtId="172" fontId="13" fillId="0" borderId="1" xfId="1" quotePrefix="1" applyNumberFormat="1" applyFont="1" applyBorder="1" applyAlignment="1">
      <alignment horizontal="center" vertical="center" wrapText="1"/>
    </xf>
    <xf numFmtId="170" fontId="13" fillId="0" borderId="0" xfId="1" applyNumberFormat="1" applyFont="1"/>
    <xf numFmtId="3" fontId="8" fillId="0" borderId="0" xfId="0" applyNumberFormat="1" applyFont="1" applyAlignment="1">
      <alignment horizontal="center" vertical="center" wrapText="1"/>
    </xf>
    <xf numFmtId="0" fontId="47" fillId="0" borderId="1" xfId="0" applyFont="1" applyBorder="1" applyAlignment="1">
      <alignment horizontal="center" vertical="center"/>
    </xf>
    <xf numFmtId="0" fontId="47" fillId="0" borderId="1" xfId="0" applyFont="1" applyBorder="1" applyAlignment="1">
      <alignment horizontal="left" vertical="center" wrapText="1"/>
    </xf>
    <xf numFmtId="177" fontId="13" fillId="0" borderId="1" xfId="1" applyNumberFormat="1" applyFont="1" applyBorder="1" applyAlignment="1">
      <alignment horizontal="center" vertical="center" wrapText="1"/>
    </xf>
    <xf numFmtId="167" fontId="13" fillId="0" borderId="1" xfId="1" applyNumberFormat="1" applyFont="1" applyBorder="1" applyAlignment="1">
      <alignment horizontal="left" vertical="center" wrapText="1"/>
    </xf>
    <xf numFmtId="43" fontId="13" fillId="0" borderId="1" xfId="1" applyFont="1" applyBorder="1" applyAlignment="1">
      <alignment horizontal="center" vertical="center" wrapText="1"/>
    </xf>
    <xf numFmtId="9" fontId="8" fillId="0" borderId="1" xfId="0" applyNumberFormat="1" applyFont="1" applyBorder="1" applyAlignment="1">
      <alignment horizontal="center" vertical="center" wrapText="1"/>
    </xf>
    <xf numFmtId="177" fontId="13" fillId="0" borderId="1" xfId="1" quotePrefix="1" applyNumberFormat="1" applyFont="1" applyBorder="1" applyAlignment="1">
      <alignment horizontal="center" vertical="center" wrapText="1"/>
    </xf>
    <xf numFmtId="177" fontId="13" fillId="0" borderId="1" xfId="1" applyNumberFormat="1" applyFont="1" applyBorder="1" applyAlignment="1">
      <alignment horizontal="center" vertical="center"/>
    </xf>
    <xf numFmtId="0" fontId="13" fillId="0" borderId="1" xfId="0" applyFont="1" applyBorder="1" applyAlignment="1">
      <alignment vertical="center" wrapText="1"/>
    </xf>
    <xf numFmtId="0" fontId="46" fillId="0" borderId="1" xfId="0" applyFont="1" applyBorder="1" applyAlignment="1">
      <alignment vertical="center" wrapText="1"/>
    </xf>
    <xf numFmtId="0" fontId="46" fillId="0" borderId="0" xfId="0" applyFont="1"/>
    <xf numFmtId="0" fontId="13" fillId="0" borderId="0" xfId="4" applyFont="1" applyAlignment="1">
      <alignment horizontal="center"/>
    </xf>
    <xf numFmtId="0" fontId="13" fillId="0" borderId="0" xfId="4" applyFont="1" applyAlignment="1">
      <alignment horizontal="center" vertical="center"/>
    </xf>
    <xf numFmtId="166" fontId="13" fillId="0" borderId="0" xfId="1" applyNumberFormat="1" applyFont="1" applyAlignment="1">
      <alignment horizontal="center" vertical="center"/>
    </xf>
    <xf numFmtId="0" fontId="3" fillId="10" borderId="0" xfId="0" applyFont="1" applyFill="1" applyAlignment="1">
      <alignment horizontal="center" vertical="center"/>
    </xf>
    <xf numFmtId="1" fontId="3" fillId="10" borderId="0" xfId="2" applyNumberFormat="1" applyFont="1" applyFill="1" applyBorder="1" applyAlignment="1">
      <alignment horizontal="center" vertical="center"/>
    </xf>
    <xf numFmtId="9" fontId="3" fillId="10" borderId="0" xfId="2" applyFont="1" applyFill="1" applyAlignment="1">
      <alignment horizontal="center" vertical="center"/>
    </xf>
    <xf numFmtId="0" fontId="4" fillId="10" borderId="0" xfId="0" applyFont="1" applyFill="1" applyAlignment="1">
      <alignment horizontal="center" vertical="center"/>
    </xf>
    <xf numFmtId="1" fontId="3" fillId="10" borderId="0" xfId="0" applyNumberFormat="1" applyFont="1" applyFill="1" applyAlignment="1">
      <alignment horizontal="center" vertical="center"/>
    </xf>
    <xf numFmtId="9" fontId="3" fillId="10" borderId="0" xfId="0" applyNumberFormat="1" applyFont="1" applyFill="1" applyAlignment="1">
      <alignment horizontal="center" vertical="center"/>
    </xf>
    <xf numFmtId="178" fontId="13" fillId="0" borderId="1" xfId="1" applyNumberFormat="1" applyFont="1" applyBorder="1" applyAlignment="1">
      <alignment horizontal="center"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0" fontId="4" fillId="2" borderId="1" xfId="0" applyFont="1" applyFill="1" applyBorder="1" applyAlignment="1">
      <alignment horizontal="left" vertical="center" wrapText="1"/>
    </xf>
    <xf numFmtId="167" fontId="3" fillId="2" borderId="1" xfId="1" applyNumberFormat="1" applyFont="1" applyFill="1" applyBorder="1" applyAlignment="1">
      <alignment horizontal="center" vertical="center" wrapText="1"/>
    </xf>
    <xf numFmtId="177" fontId="3" fillId="2"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8" fontId="4" fillId="2" borderId="1" xfId="1" applyNumberFormat="1" applyFont="1" applyFill="1" applyBorder="1" applyAlignment="1">
      <alignment horizontal="center" vertical="center"/>
    </xf>
    <xf numFmtId="0" fontId="3" fillId="2" borderId="1" xfId="0" applyFont="1" applyFill="1" applyBorder="1" applyAlignment="1">
      <alignment horizontal="left" vertical="center" wrapText="1"/>
    </xf>
    <xf numFmtId="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68"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10" fontId="3" fillId="2" borderId="0" xfId="2" applyNumberFormat="1" applyFont="1" applyFill="1" applyBorder="1" applyAlignment="1">
      <alignment horizontal="center" vertical="center"/>
    </xf>
    <xf numFmtId="170" fontId="4" fillId="2" borderId="1" xfId="1"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vertical="center"/>
    </xf>
    <xf numFmtId="168" fontId="4" fillId="2" borderId="1" xfId="0" applyNumberFormat="1" applyFont="1" applyFill="1" applyBorder="1" applyAlignment="1">
      <alignment horizontal="center" vertical="center" wrapText="1"/>
    </xf>
    <xf numFmtId="168" fontId="4" fillId="2" borderId="0" xfId="0" applyNumberFormat="1" applyFont="1" applyFill="1" applyAlignment="1">
      <alignment horizontal="center" vertical="center"/>
    </xf>
    <xf numFmtId="0" fontId="4" fillId="2" borderId="0" xfId="0" applyFont="1" applyFill="1" applyAlignment="1">
      <alignment horizontal="center" vertical="center"/>
    </xf>
    <xf numFmtId="168" fontId="3" fillId="2" borderId="0" xfId="0" applyNumberFormat="1" applyFont="1" applyFill="1" applyAlignment="1">
      <alignment horizontal="center" vertical="center"/>
    </xf>
    <xf numFmtId="169" fontId="3" fillId="2" borderId="1" xfId="2" applyNumberFormat="1" applyFont="1" applyFill="1" applyBorder="1" applyAlignment="1">
      <alignment horizontal="center" vertical="center" wrapText="1"/>
    </xf>
    <xf numFmtId="0" fontId="4" fillId="2" borderId="1" xfId="0" applyFont="1" applyFill="1" applyBorder="1" applyAlignment="1">
      <alignment vertical="center" wrapText="1"/>
    </xf>
    <xf numFmtId="1" fontId="3" fillId="2" borderId="1" xfId="1" applyNumberFormat="1" applyFont="1" applyFill="1" applyBorder="1" applyAlignment="1">
      <alignment horizontal="center" vertical="center"/>
    </xf>
    <xf numFmtId="10" fontId="3" fillId="2" borderId="1" xfId="2" applyNumberFormat="1" applyFont="1" applyFill="1" applyBorder="1" applyAlignment="1">
      <alignment horizontal="center" vertical="center"/>
    </xf>
    <xf numFmtId="10" fontId="3" fillId="2" borderId="0" xfId="0" applyNumberFormat="1" applyFont="1" applyFill="1" applyAlignment="1">
      <alignment horizontal="center" vertical="center"/>
    </xf>
    <xf numFmtId="37" fontId="3" fillId="2" borderId="1" xfId="0" applyNumberFormat="1" applyFont="1" applyFill="1" applyBorder="1" applyAlignment="1">
      <alignment horizontal="center" vertical="center"/>
    </xf>
    <xf numFmtId="9" fontId="3" fillId="2" borderId="0" xfId="0" applyNumberFormat="1" applyFont="1" applyFill="1" applyAlignment="1">
      <alignment horizontal="center" vertical="center"/>
    </xf>
    <xf numFmtId="3" fontId="4" fillId="2" borderId="0" xfId="0" applyNumberFormat="1" applyFont="1" applyFill="1" applyAlignment="1">
      <alignment vertical="center"/>
    </xf>
    <xf numFmtId="9" fontId="4" fillId="2" borderId="0" xfId="0" applyNumberFormat="1" applyFont="1" applyFill="1" applyAlignment="1">
      <alignment vertical="center"/>
    </xf>
    <xf numFmtId="170" fontId="4" fillId="2" borderId="0" xfId="1" applyNumberFormat="1" applyFont="1" applyFill="1" applyAlignment="1">
      <alignment horizontal="center" vertical="center"/>
    </xf>
    <xf numFmtId="0" fontId="3" fillId="2" borderId="0" xfId="0" applyFont="1" applyFill="1" applyAlignment="1">
      <alignment horizontal="center"/>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170" fontId="3" fillId="2" borderId="0" xfId="0" applyNumberFormat="1" applyFont="1" applyFill="1" applyAlignment="1">
      <alignment horizontal="center" vertical="center"/>
    </xf>
    <xf numFmtId="0" fontId="4" fillId="2" borderId="0" xfId="0" applyFont="1" applyFill="1" applyAlignment="1">
      <alignment horizontal="justify" vertical="center"/>
    </xf>
    <xf numFmtId="170" fontId="3" fillId="2" borderId="0" xfId="1" applyNumberFormat="1" applyFont="1" applyFill="1" applyAlignment="1">
      <alignment horizontal="center"/>
    </xf>
    <xf numFmtId="43" fontId="3" fillId="2" borderId="0" xfId="1" applyFont="1" applyFill="1" applyBorder="1" applyAlignment="1">
      <alignment horizontal="center" vertical="center"/>
    </xf>
    <xf numFmtId="0" fontId="3" fillId="2" borderId="0" xfId="0" applyFont="1" applyFill="1" applyAlignment="1">
      <alignment vertical="center" wrapText="1"/>
    </xf>
    <xf numFmtId="0" fontId="3" fillId="2" borderId="10" xfId="0" applyFont="1" applyFill="1" applyBorder="1" applyAlignment="1">
      <alignment horizontal="left" vertical="center" wrapText="1"/>
    </xf>
    <xf numFmtId="4" fontId="3" fillId="2" borderId="1" xfId="0" applyNumberFormat="1" applyFont="1" applyFill="1" applyBorder="1" applyAlignment="1">
      <alignment horizontal="center" vertical="center"/>
    </xf>
    <xf numFmtId="170" fontId="3" fillId="2" borderId="1" xfId="0" applyNumberFormat="1" applyFont="1" applyFill="1" applyBorder="1" applyAlignment="1">
      <alignment horizontal="center" vertical="center"/>
    </xf>
    <xf numFmtId="0" fontId="3" fillId="2" borderId="11" xfId="0" applyFont="1" applyFill="1" applyBorder="1" applyAlignment="1">
      <alignment horizontal="left" vertical="center" wrapText="1"/>
    </xf>
    <xf numFmtId="170" fontId="4" fillId="2" borderId="1" xfId="0" applyNumberFormat="1" applyFont="1" applyFill="1" applyBorder="1" applyAlignment="1">
      <alignment horizontal="center" vertical="center"/>
    </xf>
    <xf numFmtId="170" fontId="3" fillId="2" borderId="0" xfId="1" applyNumberFormat="1" applyFont="1" applyFill="1" applyAlignment="1">
      <alignment horizontal="center" vertical="center"/>
    </xf>
    <xf numFmtId="14" fontId="3" fillId="2" borderId="0" xfId="0" applyNumberFormat="1" applyFont="1" applyFill="1" applyAlignment="1">
      <alignment horizontal="center" vertical="center"/>
    </xf>
    <xf numFmtId="0" fontId="2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3" fontId="7" fillId="3" borderId="1" xfId="0" applyNumberFormat="1"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3" fontId="28" fillId="3" borderId="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2" fontId="4" fillId="2" borderId="1" xfId="0" applyNumberFormat="1" applyFont="1" applyFill="1" applyBorder="1" applyAlignment="1">
      <alignment horizontal="center" vertical="center" wrapText="1"/>
    </xf>
    <xf numFmtId="14" fontId="13" fillId="2" borderId="1" xfId="0" quotePrefix="1"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70" fontId="13" fillId="0" borderId="0" xfId="0" applyNumberFormat="1" applyFont="1"/>
    <xf numFmtId="178" fontId="4" fillId="2" borderId="1" xfId="1" applyNumberFormat="1" applyFont="1" applyFill="1" applyBorder="1" applyAlignment="1">
      <alignment horizontal="center" vertical="center" wrapText="1"/>
    </xf>
    <xf numFmtId="3" fontId="5" fillId="0" borderId="0" xfId="3" applyNumberFormat="1" applyAlignment="1" applyProtection="1">
      <alignment horizontal="center" vertical="center" wrapText="1"/>
    </xf>
    <xf numFmtId="0" fontId="0" fillId="0" borderId="0" xfId="0" applyAlignment="1">
      <alignment horizontal="center" vertical="center"/>
    </xf>
    <xf numFmtId="0" fontId="47" fillId="0" borderId="0" xfId="0" applyFont="1" applyAlignment="1">
      <alignment horizontal="center"/>
    </xf>
    <xf numFmtId="0" fontId="47" fillId="0" borderId="0" xfId="0" applyFont="1" applyAlignment="1">
      <alignment horizontal="center" vertical="center" wrapText="1"/>
    </xf>
    <xf numFmtId="0" fontId="13" fillId="0" borderId="0" xfId="0" applyFont="1" applyAlignment="1">
      <alignment horizontal="center" vertical="top" wrapText="1"/>
    </xf>
    <xf numFmtId="0" fontId="3" fillId="0" borderId="0" xfId="0" quotePrefix="1" applyFont="1" applyAlignment="1">
      <alignment horizontal="center" vertical="center" wrapText="1"/>
    </xf>
    <xf numFmtId="0" fontId="13" fillId="0" borderId="0" xfId="0" applyFont="1" applyAlignment="1">
      <alignment horizontal="center" vertical="center" wrapText="1"/>
    </xf>
    <xf numFmtId="0" fontId="8" fillId="0" borderId="0" xfId="0" quotePrefix="1" applyFont="1" applyAlignment="1">
      <alignment horizontal="center" vertical="center" wrapText="1"/>
    </xf>
    <xf numFmtId="164" fontId="13" fillId="0" borderId="0" xfId="1" applyNumberFormat="1" applyFont="1" applyFill="1" applyBorder="1" applyAlignment="1">
      <alignment horizontal="center" vertical="center" wrapText="1"/>
    </xf>
    <xf numFmtId="167" fontId="13" fillId="0" borderId="0" xfId="1" applyNumberFormat="1" applyFont="1" applyFill="1" applyBorder="1" applyAlignment="1">
      <alignment horizontal="center" vertical="center" wrapText="1"/>
    </xf>
    <xf numFmtId="167" fontId="13" fillId="0" borderId="0" xfId="1" applyNumberFormat="1" applyFont="1" applyBorder="1" applyAlignment="1">
      <alignment horizontal="center" vertical="center" wrapText="1"/>
    </xf>
    <xf numFmtId="0" fontId="13" fillId="0" borderId="0" xfId="7" applyFont="1" applyAlignment="1">
      <alignment horizontal="center" vertical="center" wrapText="1"/>
    </xf>
    <xf numFmtId="14" fontId="13" fillId="2" borderId="0" xfId="0" quotePrefix="1" applyNumberFormat="1" applyFont="1" applyFill="1" applyAlignment="1">
      <alignment horizontal="center" vertical="center" wrapText="1"/>
    </xf>
    <xf numFmtId="0" fontId="8" fillId="0" borderId="0" xfId="0" applyFont="1" applyAlignment="1">
      <alignment horizontal="center" vertical="center" wrapText="1"/>
    </xf>
    <xf numFmtId="170" fontId="13" fillId="0" borderId="0" xfId="1" applyNumberFormat="1" applyFont="1" applyBorder="1" applyAlignment="1">
      <alignment horizontal="center" vertical="center"/>
    </xf>
    <xf numFmtId="177" fontId="13" fillId="0" borderId="0" xfId="1" applyNumberFormat="1" applyFont="1" applyBorder="1" applyAlignment="1">
      <alignment horizontal="center" vertical="center" wrapText="1"/>
    </xf>
    <xf numFmtId="3" fontId="13" fillId="0" borderId="0" xfId="0" applyNumberFormat="1" applyFont="1" applyAlignment="1">
      <alignment horizontal="center" vertical="center" wrapText="1"/>
    </xf>
    <xf numFmtId="9" fontId="8" fillId="0" borderId="0" xfId="0" applyNumberFormat="1" applyFont="1" applyAlignment="1">
      <alignment horizontal="center" vertical="center" wrapText="1"/>
    </xf>
    <xf numFmtId="177" fontId="13" fillId="0" borderId="0" xfId="1" quotePrefix="1" applyNumberFormat="1" applyFont="1" applyBorder="1" applyAlignment="1">
      <alignment horizontal="center" vertical="center" wrapText="1"/>
    </xf>
    <xf numFmtId="177" fontId="13" fillId="0" borderId="0" xfId="1" applyNumberFormat="1" applyFont="1" applyBorder="1" applyAlignment="1">
      <alignment horizontal="center" vertical="center"/>
    </xf>
    <xf numFmtId="0" fontId="47" fillId="0" borderId="0" xfId="0" applyFont="1" applyAlignment="1">
      <alignment horizontal="center"/>
    </xf>
    <xf numFmtId="0" fontId="17" fillId="0" borderId="0" xfId="0" applyFont="1" applyAlignment="1">
      <alignment horizontal="left" vertical="center" wrapText="1"/>
    </xf>
    <xf numFmtId="0" fontId="32" fillId="0" borderId="0" xfId="0" applyFont="1" applyAlignment="1">
      <alignment horizontal="center" vertical="center"/>
    </xf>
    <xf numFmtId="0" fontId="18" fillId="0" borderId="0" xfId="0" applyFont="1" applyAlignment="1">
      <alignment horizontal="left" vertical="center" wrapText="1"/>
    </xf>
    <xf numFmtId="0" fontId="0" fillId="0" borderId="0" xfId="0" applyAlignment="1">
      <alignment horizontal="left" vertical="center" wrapText="1"/>
    </xf>
    <xf numFmtId="0" fontId="18" fillId="0" borderId="0" xfId="0" quotePrefix="1" applyFont="1" applyAlignment="1">
      <alignment horizontal="left" vertical="center" wrapText="1"/>
    </xf>
    <xf numFmtId="0" fontId="18" fillId="0" borderId="1" xfId="4" quotePrefix="1" applyFont="1" applyBorder="1" applyAlignment="1">
      <alignment horizontal="left" vertical="top" wrapText="1"/>
    </xf>
    <xf numFmtId="0" fontId="17" fillId="0" borderId="1" xfId="4" applyFont="1" applyBorder="1" applyAlignment="1">
      <alignment horizontal="left" vertical="center" wrapText="1"/>
    </xf>
    <xf numFmtId="0" fontId="17" fillId="0" borderId="2" xfId="4" applyFont="1" applyBorder="1" applyAlignment="1">
      <alignment horizontal="left" vertical="center" wrapText="1"/>
    </xf>
    <xf numFmtId="0" fontId="18" fillId="0" borderId="1" xfId="4" applyFont="1" applyBorder="1" applyAlignment="1">
      <alignment horizontal="left" vertical="center" wrapText="1"/>
    </xf>
    <xf numFmtId="0" fontId="17" fillId="0" borderId="4" xfId="4" applyFont="1" applyBorder="1" applyAlignment="1">
      <alignment horizontal="left" vertical="center" wrapText="1"/>
    </xf>
    <xf numFmtId="0" fontId="17" fillId="0" borderId="6" xfId="4" applyFont="1" applyBorder="1" applyAlignment="1">
      <alignment horizontal="left" vertical="center" wrapText="1"/>
    </xf>
    <xf numFmtId="0" fontId="17" fillId="0" borderId="5" xfId="4" applyFont="1" applyBorder="1" applyAlignment="1">
      <alignment horizontal="left" vertical="center" wrapText="1"/>
    </xf>
    <xf numFmtId="0" fontId="18" fillId="0" borderId="1" xfId="4" applyFont="1" applyBorder="1" applyAlignment="1">
      <alignment horizontal="left" vertical="top" wrapText="1"/>
    </xf>
    <xf numFmtId="0" fontId="27" fillId="0" borderId="0" xfId="4" applyFont="1" applyAlignment="1">
      <alignment horizontal="center" vertical="center"/>
    </xf>
    <xf numFmtId="0" fontId="17" fillId="0" borderId="0" xfId="4" applyFont="1" applyAlignment="1">
      <alignment horizontal="center" vertical="center" wrapText="1"/>
    </xf>
    <xf numFmtId="0" fontId="17" fillId="0" borderId="0" xfId="4" applyFont="1" applyAlignment="1">
      <alignment horizontal="center" vertical="center"/>
    </xf>
    <xf numFmtId="0" fontId="19" fillId="0" borderId="1" xfId="0" applyFont="1" applyBorder="1" applyAlignment="1">
      <alignment vertical="center" wrapText="1"/>
    </xf>
    <xf numFmtId="0" fontId="17" fillId="0" borderId="0" xfId="4" applyFont="1" applyAlignment="1">
      <alignment horizontal="left" vertical="center" wrapText="1"/>
    </xf>
    <xf numFmtId="0" fontId="18" fillId="0" borderId="4" xfId="0" applyFont="1" applyBorder="1" applyAlignment="1">
      <alignment vertical="center" wrapText="1"/>
    </xf>
    <xf numFmtId="0" fontId="18" fillId="0" borderId="6" xfId="0" applyFont="1" applyBorder="1" applyAlignment="1">
      <alignment vertical="center" wrapText="1"/>
    </xf>
    <xf numFmtId="0" fontId="18" fillId="0" borderId="5" xfId="0" applyFont="1" applyBorder="1" applyAlignment="1">
      <alignment vertical="center" wrapText="1"/>
    </xf>
    <xf numFmtId="0" fontId="19" fillId="0" borderId="4" xfId="0" quotePrefix="1" applyFont="1" applyBorder="1" applyAlignment="1">
      <alignment horizontal="left" vertical="center" wrapText="1"/>
    </xf>
    <xf numFmtId="0" fontId="19" fillId="0" borderId="13" xfId="0" quotePrefix="1" applyFont="1" applyBorder="1" applyAlignment="1">
      <alignment horizontal="left" vertical="center" wrapText="1"/>
    </xf>
    <xf numFmtId="0" fontId="19" fillId="0" borderId="14" xfId="0" quotePrefix="1" applyFont="1" applyBorder="1" applyAlignment="1">
      <alignment horizontal="left" vertical="center" wrapText="1"/>
    </xf>
    <xf numFmtId="0" fontId="18" fillId="0" borderId="4" xfId="4" applyFont="1" applyBorder="1" applyAlignment="1">
      <alignment horizontal="center" vertical="center" wrapText="1"/>
    </xf>
    <xf numFmtId="0" fontId="18" fillId="0" borderId="6" xfId="4" applyFont="1" applyBorder="1" applyAlignment="1">
      <alignment horizontal="center" vertical="center" wrapText="1"/>
    </xf>
    <xf numFmtId="0" fontId="18" fillId="0" borderId="5" xfId="4" applyFont="1" applyBorder="1" applyAlignment="1">
      <alignment horizontal="center" vertical="center" wrapText="1"/>
    </xf>
    <xf numFmtId="0" fontId="19" fillId="0" borderId="1" xfId="0" quotePrefix="1" applyFont="1" applyBorder="1" applyAlignment="1">
      <alignment horizontal="left" vertical="center" wrapText="1"/>
    </xf>
    <xf numFmtId="0" fontId="19" fillId="0" borderId="1" xfId="0" applyFont="1" applyBorder="1" applyAlignment="1">
      <alignment horizontal="left" vertical="center" wrapText="1"/>
    </xf>
    <xf numFmtId="0" fontId="19" fillId="0" borderId="6" xfId="0" quotePrefix="1" applyFont="1" applyBorder="1" applyAlignment="1">
      <alignment horizontal="left" vertical="center" wrapText="1"/>
    </xf>
    <xf numFmtId="0" fontId="19" fillId="0" borderId="5" xfId="0" quotePrefix="1" applyFont="1" applyBorder="1" applyAlignment="1">
      <alignment horizontal="left" vertical="center" wrapText="1"/>
    </xf>
    <xf numFmtId="0" fontId="18" fillId="0" borderId="4" xfId="4" applyFont="1" applyBorder="1" applyAlignment="1">
      <alignment horizontal="left" vertical="center" wrapText="1"/>
    </xf>
    <xf numFmtId="0" fontId="18" fillId="0" borderId="6" xfId="4" applyFont="1" applyBorder="1" applyAlignment="1">
      <alignment horizontal="left" vertical="center" wrapText="1"/>
    </xf>
    <xf numFmtId="0" fontId="18" fillId="0" borderId="5" xfId="4"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168" fontId="4" fillId="2" borderId="1" xfId="0" applyNumberFormat="1"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quotePrefix="1" applyFont="1" applyFill="1" applyAlignment="1">
      <alignment horizontal="left" vertical="center" wrapText="1"/>
    </xf>
    <xf numFmtId="0" fontId="28"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7" fillId="0" borderId="0" xfId="4" applyFont="1" applyAlignment="1">
      <alignment horizontal="left" vertical="center"/>
    </xf>
    <xf numFmtId="0" fontId="31" fillId="0" borderId="1" xfId="7" applyFont="1" applyBorder="1" applyAlignment="1">
      <alignment horizontal="center" vertical="center"/>
    </xf>
    <xf numFmtId="0" fontId="28" fillId="2" borderId="4" xfId="7" applyFont="1" applyFill="1" applyBorder="1" applyAlignment="1">
      <alignment horizontal="left" vertical="center" wrapText="1"/>
    </xf>
    <xf numFmtId="0" fontId="28" fillId="2" borderId="6" xfId="7" applyFont="1" applyFill="1" applyBorder="1" applyAlignment="1">
      <alignment horizontal="left" vertical="center" wrapText="1"/>
    </xf>
    <xf numFmtId="0" fontId="28" fillId="2" borderId="5" xfId="7" applyFont="1" applyFill="1" applyBorder="1" applyAlignment="1">
      <alignment horizontal="left" vertical="center" wrapText="1"/>
    </xf>
    <xf numFmtId="0" fontId="31" fillId="0" borderId="8" xfId="7" applyFont="1" applyBorder="1" applyAlignment="1">
      <alignment horizontal="left" vertical="center" wrapText="1"/>
    </xf>
    <xf numFmtId="0" fontId="53" fillId="0" borderId="8" xfId="7" applyFont="1" applyBorder="1" applyAlignment="1">
      <alignment horizontal="left" vertical="center" wrapText="1"/>
    </xf>
    <xf numFmtId="0" fontId="53" fillId="0" borderId="0" xfId="7" applyFont="1" applyAlignment="1">
      <alignment horizontal="left" vertical="center" wrapText="1"/>
    </xf>
    <xf numFmtId="0" fontId="17" fillId="0" borderId="4" xfId="7" applyFont="1" applyBorder="1" applyAlignment="1">
      <alignment horizontal="center" vertical="center"/>
    </xf>
    <xf numFmtId="0" fontId="17" fillId="0" borderId="6" xfId="7" applyFont="1" applyBorder="1" applyAlignment="1">
      <alignment horizontal="center" vertical="center"/>
    </xf>
    <xf numFmtId="0" fontId="17" fillId="0" borderId="5" xfId="7" applyFont="1" applyBorder="1" applyAlignment="1">
      <alignment horizontal="center" vertical="center"/>
    </xf>
    <xf numFmtId="0" fontId="59" fillId="0" borderId="0" xfId="0" applyFont="1" applyAlignment="1">
      <alignment horizontal="center" vertical="center"/>
    </xf>
    <xf numFmtId="0" fontId="13" fillId="0" borderId="0" xfId="0" applyFont="1" applyAlignment="1">
      <alignment horizontal="left"/>
    </xf>
    <xf numFmtId="0" fontId="5" fillId="0" borderId="0" xfId="3" applyBorder="1" applyAlignment="1" applyProtection="1">
      <alignment horizontal="center" vertical="center" wrapText="1"/>
    </xf>
    <xf numFmtId="0" fontId="59" fillId="0" borderId="0" xfId="0" applyFont="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3" xfId="0" applyBorder="1" applyAlignment="1">
      <alignment horizontal="right" vertical="center"/>
    </xf>
    <xf numFmtId="0" fontId="0" fillId="0" borderId="12" xfId="0" applyBorder="1" applyAlignment="1">
      <alignment horizontal="right" vertical="center"/>
    </xf>
    <xf numFmtId="0" fontId="0" fillId="0" borderId="2" xfId="0" applyBorder="1" applyAlignment="1">
      <alignment horizontal="right" vertical="center"/>
    </xf>
    <xf numFmtId="0" fontId="17" fillId="0" borderId="4" xfId="0" applyFont="1" applyBorder="1" applyAlignment="1">
      <alignment horizontal="center"/>
    </xf>
    <xf numFmtId="0" fontId="17" fillId="0" borderId="6" xfId="0" applyFont="1" applyBorder="1" applyAlignment="1">
      <alignment horizontal="center"/>
    </xf>
    <xf numFmtId="0" fontId="17" fillId="0" borderId="5" xfId="0" applyFon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25" fillId="0" borderId="4" xfId="4" applyFont="1" applyBorder="1" applyAlignment="1">
      <alignment horizontal="center" vertical="center" wrapText="1"/>
    </xf>
    <xf numFmtId="0" fontId="25" fillId="0" borderId="6" xfId="4" applyFont="1" applyBorder="1" applyAlignment="1">
      <alignment horizontal="center" vertical="center" wrapText="1"/>
    </xf>
    <xf numFmtId="0" fontId="25" fillId="0" borderId="5" xfId="4"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4"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14" fontId="4"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3" fillId="0" borderId="0" xfId="0" applyFont="1"/>
    <xf numFmtId="0" fontId="4" fillId="0" borderId="1" xfId="0" applyFont="1" applyBorder="1" applyAlignment="1">
      <alignment horizontal="center" vertical="center" wrapText="1"/>
    </xf>
    <xf numFmtId="9" fontId="4" fillId="0" borderId="1" xfId="2" applyFont="1" applyBorder="1" applyAlignment="1">
      <alignment horizontal="center" vertical="center" wrapText="1"/>
    </xf>
    <xf numFmtId="0" fontId="3" fillId="0" borderId="0" xfId="0" applyFont="1" applyAlignment="1">
      <alignment vertical="center" wrapText="1"/>
    </xf>
    <xf numFmtId="0" fontId="4"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24" applyFont="1" applyBorder="1" applyAlignment="1">
      <alignment vertical="center" wrapText="1"/>
    </xf>
    <xf numFmtId="170" fontId="3" fillId="2" borderId="1" xfId="1" applyNumberFormat="1" applyFont="1" applyFill="1" applyBorder="1" applyAlignment="1">
      <alignment vertical="center" wrapText="1"/>
    </xf>
    <xf numFmtId="14" fontId="3" fillId="0" borderId="1" xfId="0" quotePrefix="1" applyNumberFormat="1" applyFont="1" applyBorder="1" applyAlignment="1">
      <alignment horizontal="center" vertical="center"/>
    </xf>
    <xf numFmtId="9" fontId="3" fillId="0" borderId="1" xfId="2" quotePrefix="1" applyFont="1" applyBorder="1" applyAlignment="1">
      <alignment horizontal="center" vertical="center"/>
    </xf>
    <xf numFmtId="0" fontId="3" fillId="0" borderId="1" xfId="0" quotePrefix="1" applyFont="1" applyBorder="1" applyAlignment="1">
      <alignment horizontal="center" vertical="center"/>
    </xf>
    <xf numFmtId="9" fontId="3" fillId="0" borderId="15" xfId="2" applyFont="1" applyFill="1" applyBorder="1" applyAlignment="1">
      <alignment horizontal="center" vertical="center"/>
    </xf>
    <xf numFmtId="170" fontId="3" fillId="0" borderId="1" xfId="1" applyNumberFormat="1" applyFont="1" applyFill="1" applyBorder="1" applyAlignment="1">
      <alignment vertical="center"/>
    </xf>
    <xf numFmtId="0" fontId="4" fillId="0" borderId="1" xfId="0" applyFont="1" applyBorder="1" applyAlignment="1">
      <alignment vertical="center"/>
    </xf>
    <xf numFmtId="170" fontId="4" fillId="0" borderId="1" xfId="1" applyNumberFormat="1" applyFont="1" applyFill="1" applyBorder="1" applyAlignment="1">
      <alignment vertical="center"/>
    </xf>
    <xf numFmtId="9" fontId="3" fillId="0" borderId="1" xfId="2" applyFont="1" applyBorder="1" applyAlignment="1">
      <alignment horizontal="center" vertical="center"/>
    </xf>
    <xf numFmtId="169" fontId="3" fillId="0" borderId="1" xfId="2" quotePrefix="1"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170" fontId="3" fillId="0" borderId="0" xfId="1" applyNumberFormat="1" applyFont="1" applyFill="1" applyAlignment="1">
      <alignment vertical="center"/>
    </xf>
    <xf numFmtId="9" fontId="3" fillId="0" borderId="0" xfId="2" applyFont="1" applyAlignment="1">
      <alignment horizontal="center" vertical="center"/>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0" fontId="3" fillId="0" borderId="0" xfId="0" applyFont="1" applyAlignment="1">
      <alignment horizontal="center"/>
    </xf>
    <xf numFmtId="1" fontId="3" fillId="0" borderId="0" xfId="0" applyNumberFormat="1" applyFont="1" applyAlignment="1">
      <alignment horizontal="center" wrapText="1"/>
    </xf>
    <xf numFmtId="1" fontId="3" fillId="0" borderId="0" xfId="0" applyNumberFormat="1" applyFont="1" applyAlignment="1">
      <alignment horizontal="center"/>
    </xf>
    <xf numFmtId="9" fontId="3" fillId="0" borderId="0" xfId="2" applyFont="1" applyAlignment="1">
      <alignment horizontal="center"/>
    </xf>
    <xf numFmtId="9" fontId="3" fillId="0" borderId="0" xfId="2" applyFont="1"/>
    <xf numFmtId="180" fontId="3" fillId="2" borderId="1" xfId="24" quotePrefix="1" applyNumberFormat="1" applyFont="1" applyFill="1" applyBorder="1" applyAlignment="1">
      <alignment horizontal="center" vertical="center" wrapText="1"/>
    </xf>
    <xf numFmtId="1" fontId="3" fillId="0" borderId="0" xfId="0" quotePrefix="1" applyNumberFormat="1" applyFont="1" applyAlignment="1">
      <alignment horizontal="center"/>
    </xf>
    <xf numFmtId="170" fontId="3" fillId="0" borderId="0" xfId="1" applyNumberFormat="1" applyFont="1"/>
    <xf numFmtId="170" fontId="4" fillId="0" borderId="0" xfId="1" applyNumberFormat="1"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center"/>
    </xf>
    <xf numFmtId="0" fontId="4" fillId="0" borderId="0" xfId="0" applyFont="1"/>
    <xf numFmtId="170" fontId="4" fillId="0" borderId="0" xfId="0" applyNumberFormat="1" applyFont="1"/>
    <xf numFmtId="1" fontId="4" fillId="0" borderId="0" xfId="0" applyNumberFormat="1" applyFont="1" applyAlignment="1">
      <alignment horizontal="center" wrapText="1"/>
    </xf>
    <xf numFmtId="1" fontId="4" fillId="0" borderId="0" xfId="0" applyNumberFormat="1" applyFont="1" applyAlignment="1">
      <alignment horizontal="center"/>
    </xf>
    <xf numFmtId="0" fontId="0" fillId="0" borderId="1" xfId="0" applyBorder="1" applyAlignment="1">
      <alignment horizontal="center" vertical="center"/>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xf numFmtId="178" fontId="0" fillId="0" borderId="1" xfId="1" applyNumberFormat="1" applyFont="1" applyBorder="1" applyAlignment="1">
      <alignment vertical="center"/>
    </xf>
    <xf numFmtId="3"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185" fontId="0" fillId="0" borderId="1" xfId="0" applyNumberFormat="1" applyBorder="1" applyAlignment="1">
      <alignment vertical="center"/>
    </xf>
    <xf numFmtId="185" fontId="17" fillId="0" borderId="1" xfId="0" applyNumberFormat="1" applyFont="1" applyBorder="1" applyAlignment="1">
      <alignment vertical="center"/>
    </xf>
    <xf numFmtId="9" fontId="0" fillId="0" borderId="1" xfId="2" applyFont="1" applyBorder="1" applyAlignment="1">
      <alignment horizontal="center" vertical="center"/>
    </xf>
    <xf numFmtId="0" fontId="17" fillId="0" borderId="4" xfId="0" applyFont="1" applyBorder="1" applyAlignment="1">
      <alignment horizontal="left" vertical="center" wrapText="1"/>
    </xf>
    <xf numFmtId="0" fontId="17" fillId="0" borderId="6" xfId="0" applyFont="1" applyBorder="1" applyAlignment="1">
      <alignment horizontal="left" vertical="center" wrapText="1"/>
    </xf>
    <xf numFmtId="0" fontId="17" fillId="0" borderId="5" xfId="0" applyFont="1" applyBorder="1" applyAlignment="1">
      <alignment horizontal="left" vertical="center" wrapText="1"/>
    </xf>
    <xf numFmtId="9" fontId="0" fillId="0" borderId="1" xfId="0" applyNumberFormat="1" applyBorder="1" applyAlignment="1">
      <alignment horizontal="center" vertical="center"/>
    </xf>
    <xf numFmtId="170" fontId="17" fillId="0" borderId="1" xfId="1" applyNumberFormat="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center" vertical="center" wrapText="1"/>
    </xf>
  </cellXfs>
  <cellStyles count="25">
    <cellStyle name="Comma" xfId="1" builtinId="3"/>
    <cellStyle name="Comma 2" xfId="6" xr:uid="{00000000-0005-0000-0000-000001000000}"/>
    <cellStyle name="Comma 2 15" xfId="13" xr:uid="{00000000-0005-0000-0000-000002000000}"/>
    <cellStyle name="Comma 2 15 2" xfId="19" xr:uid="{00000000-0005-0000-0000-000003000000}"/>
    <cellStyle name="Comma 2 2" xfId="18" xr:uid="{00000000-0005-0000-0000-000004000000}"/>
    <cellStyle name="Comma 3" xfId="5" xr:uid="{00000000-0005-0000-0000-000005000000}"/>
    <cellStyle name="Comma 4" xfId="22" xr:uid="{00000000-0005-0000-0000-000006000000}"/>
    <cellStyle name="Dấu phẩy 2" xfId="17" xr:uid="{00000000-0005-0000-0000-000007000000}"/>
    <cellStyle name="Hyperlink" xfId="3" builtinId="8"/>
    <cellStyle name="Hyperlink 2" xfId="10" xr:uid="{00000000-0005-0000-0000-000009000000}"/>
    <cellStyle name="Hyperlink 3" xfId="9" xr:uid="{00000000-0005-0000-0000-00000A000000}"/>
    <cellStyle name="Normal" xfId="0" builtinId="0"/>
    <cellStyle name="Normal 2" xfId="7" xr:uid="{00000000-0005-0000-0000-00000C000000}"/>
    <cellStyle name="Normal 2 3" xfId="20" xr:uid="{00000000-0005-0000-0000-00000D000000}"/>
    <cellStyle name="Normal 2 3 2" xfId="14" xr:uid="{00000000-0005-0000-0000-00000E000000}"/>
    <cellStyle name="Normal 29" xfId="12" xr:uid="{00000000-0005-0000-0000-00000F000000}"/>
    <cellStyle name="Normal 3" xfId="4" xr:uid="{00000000-0005-0000-0000-000010000000}"/>
    <cellStyle name="Normal 3 2" xfId="23" xr:uid="{00000000-0005-0000-0000-000011000000}"/>
    <cellStyle name="Normal 4" xfId="24" xr:uid="{FFD5E229-CBA6-4840-9A0F-27441B887B4B}"/>
    <cellStyle name="Normal 8" xfId="21" xr:uid="{00000000-0005-0000-0000-000012000000}"/>
    <cellStyle name="Normal_Dichso 2" xfId="16" xr:uid="{00000000-0005-0000-0000-000013000000}"/>
    <cellStyle name="Normal_DocSoUnicode 2" xfId="15" xr:uid="{00000000-0005-0000-0000-000014000000}"/>
    <cellStyle name="Percent" xfId="2" builtinId="5"/>
    <cellStyle name="Percent 2" xfId="11" xr:uid="{00000000-0005-0000-0000-000016000000}"/>
    <cellStyle name="Percent 3" xfId="8"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2209800</xdr:colOff>
      <xdr:row>6</xdr:row>
      <xdr:rowOff>133350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34150" cy="1333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76201</xdr:colOff>
      <xdr:row>36</xdr:row>
      <xdr:rowOff>47624</xdr:rowOff>
    </xdr:from>
    <xdr:to>
      <xdr:col>4</xdr:col>
      <xdr:colOff>1704975</xdr:colOff>
      <xdr:row>36</xdr:row>
      <xdr:rowOff>3362325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95301" y="6391274"/>
          <a:ext cx="6038849" cy="3314701"/>
        </a:xfrm>
        <a:prstGeom prst="rect">
          <a:avLst/>
        </a:prstGeom>
      </xdr:spPr>
    </xdr:pic>
    <xdr:clientData/>
  </xdr:twoCellAnchor>
  <xdr:twoCellAnchor editAs="oneCell">
    <xdr:from>
      <xdr:col>0</xdr:col>
      <xdr:colOff>47625</xdr:colOff>
      <xdr:row>0</xdr:row>
      <xdr:rowOff>38099</xdr:rowOff>
    </xdr:from>
    <xdr:to>
      <xdr:col>4</xdr:col>
      <xdr:colOff>1724025</xdr:colOff>
      <xdr:row>5</xdr:row>
      <xdr:rowOff>285749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7625" y="38099"/>
          <a:ext cx="6505575" cy="1457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304800</xdr:colOff>
          <xdr:row>3</xdr:row>
          <xdr:rowOff>129540</xdr:rowOff>
        </xdr:from>
        <xdr:to>
          <xdr:col>48</xdr:col>
          <xdr:colOff>53340</xdr:colOff>
          <xdr:row>55</xdr:row>
          <xdr:rowOff>152400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22</xdr:col>
      <xdr:colOff>443593</xdr:colOff>
      <xdr:row>5</xdr:row>
      <xdr:rowOff>91168</xdr:rowOff>
    </xdr:from>
    <xdr:to>
      <xdr:col>23</xdr:col>
      <xdr:colOff>548368</xdr:colOff>
      <xdr:row>7</xdr:row>
      <xdr:rowOff>138793</xdr:rowOff>
    </xdr:to>
    <xdr:sp macro="" textlink="">
      <xdr:nvSpPr>
        <xdr:cNvPr id="5" name="Oval 2">
          <a:extLst>
            <a:ext uri="{FF2B5EF4-FFF2-40B4-BE49-F238E27FC236}">
              <a16:creationId xmlns:a16="http://schemas.microsoft.com/office/drawing/2014/main" id="{00000000-0008-0000-1900-000005000000}"/>
            </a:ext>
          </a:extLst>
        </xdr:cNvPr>
        <xdr:cNvSpPr>
          <a:spLocks noChangeArrowheads="1"/>
        </xdr:cNvSpPr>
      </xdr:nvSpPr>
      <xdr:spPr bwMode="auto">
        <a:xfrm>
          <a:off x="15411450" y="2744561"/>
          <a:ext cx="785132" cy="455839"/>
        </a:xfrm>
        <a:prstGeom prst="ellipse">
          <a:avLst/>
        </a:prstGeom>
        <a:solidFill>
          <a:srgbClr val="70AD47"/>
        </a:solidFill>
        <a:ln w="38100" algn="ctr">
          <a:solidFill>
            <a:srgbClr val="F2F2F2"/>
          </a:solidFill>
          <a:round/>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ctr" rtl="0">
            <a:defRPr sz="1000"/>
          </a:pPr>
          <a:r>
            <a:rPr lang="en-US" sz="1100" b="0" i="0" u="none" strike="noStrike" baseline="0">
              <a:solidFill>
                <a:srgbClr val="FFFFFF"/>
              </a:solidFill>
              <a:latin typeface="Calibri CE"/>
              <a:cs typeface="+mn-cs"/>
            </a:rPr>
            <a:t>SS1</a:t>
          </a:r>
          <a:endParaRPr lang="en-US" sz="1100" b="0" i="0" u="none" strike="noStrike" baseline="0">
            <a:solidFill>
              <a:srgbClr val="FFFFFF"/>
            </a:solidFill>
            <a:latin typeface="Times New Roman"/>
            <a:cs typeface="Times New Roman"/>
          </a:endParaRPr>
        </a:p>
        <a:p>
          <a:pPr algn="ctr" rtl="0">
            <a:defRPr sz="1000"/>
          </a:pPr>
          <a:endParaRPr lang="en-US" sz="1100" b="0" i="0" u="none" strike="noStrike" baseline="0">
            <a:solidFill>
              <a:srgbClr val="FFFFFF"/>
            </a:solidFill>
            <a:latin typeface="Times New Roman"/>
            <a:cs typeface="Times New Roman"/>
          </a:endParaRPr>
        </a:p>
      </xdr:txBody>
    </xdr:sp>
    <xdr:clientData/>
  </xdr:twoCellAnchor>
  <xdr:oneCellAnchor>
    <xdr:from>
      <xdr:col>6</xdr:col>
      <xdr:colOff>625928</xdr:colOff>
      <xdr:row>5</xdr:row>
      <xdr:rowOff>27214</xdr:rowOff>
    </xdr:from>
    <xdr:ext cx="184731" cy="264560"/>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4708071" y="2680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39913</xdr:colOff>
      <xdr:row>1</xdr:row>
      <xdr:rowOff>163132</xdr:rowOff>
    </xdr:from>
    <xdr:to>
      <xdr:col>12</xdr:col>
      <xdr:colOff>302622</xdr:colOff>
      <xdr:row>27</xdr:row>
      <xdr:rowOff>10583</xdr:rowOff>
    </xdr:to>
    <xdr:pic>
      <xdr:nvPicPr>
        <xdr:cNvPr id="9" name="Picture 8">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830" y="364215"/>
          <a:ext cx="7829792" cy="5075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115358</xdr:colOff>
      <xdr:row>20</xdr:row>
      <xdr:rowOff>135467</xdr:rowOff>
    </xdr:from>
    <xdr:to>
      <xdr:col>7</xdr:col>
      <xdr:colOff>277283</xdr:colOff>
      <xdr:row>22</xdr:row>
      <xdr:rowOff>125941</xdr:rowOff>
    </xdr:to>
    <xdr:sp macro="" textlink="">
      <xdr:nvSpPr>
        <xdr:cNvPr id="10" name="Oval 2">
          <a:extLst>
            <a:ext uri="{FF2B5EF4-FFF2-40B4-BE49-F238E27FC236}">
              <a16:creationId xmlns:a16="http://schemas.microsoft.com/office/drawing/2014/main" id="{00000000-0008-0000-1900-00000A000000}"/>
            </a:ext>
          </a:extLst>
        </xdr:cNvPr>
        <xdr:cNvSpPr>
          <a:spLocks noChangeArrowheads="1"/>
        </xdr:cNvSpPr>
      </xdr:nvSpPr>
      <xdr:spPr bwMode="auto">
        <a:xfrm>
          <a:off x="4242858" y="5765800"/>
          <a:ext cx="849842" cy="392641"/>
        </a:xfrm>
        <a:prstGeom prst="ellipse">
          <a:avLst/>
        </a:prstGeom>
        <a:solidFill>
          <a:srgbClr val="70AD47"/>
        </a:solidFill>
        <a:ln w="38100" algn="ctr">
          <a:solidFill>
            <a:srgbClr val="F2F2F2"/>
          </a:solidFill>
          <a:round/>
          <a:headEnd/>
          <a:tailEnd/>
        </a:ln>
        <a:effectLst>
          <a:outerShdw dist="28398" dir="3806097" algn="ctr" rotWithShape="0">
            <a:srgbClr val="375623">
              <a:alpha val="50000"/>
            </a:srgbClr>
          </a:outerShdw>
        </a:effectLst>
      </xdr:spPr>
      <xdr:txBody>
        <a:bodyPr vertOverflow="clip" wrap="square" lIns="91440" tIns="45720" rIns="91440" bIns="45720" anchor="t" upright="1"/>
        <a:lstStyle/>
        <a:p>
          <a:pPr algn="l" rtl="0">
            <a:defRPr sz="1000"/>
          </a:pPr>
          <a:r>
            <a:rPr lang="en-US" sz="1100" b="0" i="0" u="none" strike="noStrike" baseline="0">
              <a:solidFill>
                <a:srgbClr val="FFFFFF"/>
              </a:solidFill>
              <a:latin typeface="Calibri CE"/>
            </a:rPr>
            <a:t>TSTĐ</a:t>
          </a:r>
          <a:endParaRPr lang="en-US" sz="1100" b="0" i="0" u="none" strike="noStrike" baseline="0">
            <a:solidFill>
              <a:srgbClr val="FFFFFF"/>
            </a:solidFill>
            <a:latin typeface="Times New Roman"/>
            <a:cs typeface="Times New Roman"/>
          </a:endParaRPr>
        </a:p>
        <a:p>
          <a:pPr lvl="1" algn="l" rtl="0">
            <a:defRPr sz="1000"/>
          </a:pPr>
          <a:endParaRPr lang="en-US" sz="1100" b="0" i="0" u="none" strike="noStrike" baseline="0">
            <a:solidFill>
              <a:srgbClr val="FFFFFF"/>
            </a:solidFill>
            <a:latin typeface="Times New Roman"/>
            <a:cs typeface="Times New Roman"/>
          </a:endParaRPr>
        </a:p>
      </xdr:txBody>
    </xdr:sp>
    <xdr:clientData/>
  </xdr:twoCellAnchor>
  <xdr:twoCellAnchor>
    <xdr:from>
      <xdr:col>4</xdr:col>
      <xdr:colOff>254000</xdr:colOff>
      <xdr:row>17</xdr:row>
      <xdr:rowOff>148166</xdr:rowOff>
    </xdr:from>
    <xdr:to>
      <xdr:col>4</xdr:col>
      <xdr:colOff>582083</xdr:colOff>
      <xdr:row>17</xdr:row>
      <xdr:rowOff>158749</xdr:rowOff>
    </xdr:to>
    <xdr:cxnSp macro="">
      <xdr:nvCxnSpPr>
        <xdr:cNvPr id="11" name="AutoShape 3">
          <a:extLst>
            <a:ext uri="{FF2B5EF4-FFF2-40B4-BE49-F238E27FC236}">
              <a16:creationId xmlns:a16="http://schemas.microsoft.com/office/drawing/2014/main" id="{00000000-0008-0000-1900-00000B000000}"/>
            </a:ext>
          </a:extLst>
        </xdr:cNvPr>
        <xdr:cNvCxnSpPr>
          <a:cxnSpLocks noChangeShapeType="1"/>
        </xdr:cNvCxnSpPr>
      </xdr:nvCxnSpPr>
      <xdr:spPr bwMode="auto">
        <a:xfrm flipV="1">
          <a:off x="3005667" y="5175249"/>
          <a:ext cx="328083" cy="10583"/>
        </a:xfrm>
        <a:prstGeom prst="straightConnector1">
          <a:avLst/>
        </a:prstGeom>
        <a:noFill/>
        <a:ln w="38100">
          <a:solidFill>
            <a:srgbClr val="F2F2F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1F4D78">
                    <a:alpha val="50000"/>
                  </a:srgbClr>
                </a:outerShdw>
              </a:effectLst>
            </a14:hiddenEffects>
          </a:ext>
        </a:extLst>
      </xdr:spPr>
    </xdr:cxnSp>
    <xdr:clientData/>
  </xdr:twoCellAnchor>
  <xdr:twoCellAnchor editAs="oneCell">
    <xdr:from>
      <xdr:col>3</xdr:col>
      <xdr:colOff>361951</xdr:colOff>
      <xdr:row>16</xdr:row>
      <xdr:rowOff>170392</xdr:rowOff>
    </xdr:from>
    <xdr:to>
      <xdr:col>4</xdr:col>
      <xdr:colOff>266701</xdr:colOff>
      <xdr:row>18</xdr:row>
      <xdr:rowOff>123840</xdr:rowOff>
    </xdr:to>
    <xdr:pic>
      <xdr:nvPicPr>
        <xdr:cNvPr id="12" name="Picture 11">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2"/>
        <a:stretch>
          <a:fillRect/>
        </a:stretch>
      </xdr:blipFill>
      <xdr:spPr>
        <a:xfrm>
          <a:off x="2425701" y="4996392"/>
          <a:ext cx="592667" cy="355615"/>
        </a:xfrm>
        <a:prstGeom prst="rect">
          <a:avLst/>
        </a:prstGeom>
      </xdr:spPr>
    </xdr:pic>
    <xdr:clientData/>
  </xdr:twoCellAnchor>
  <xdr:twoCellAnchor editAs="oneCell">
    <xdr:from>
      <xdr:col>3</xdr:col>
      <xdr:colOff>271991</xdr:colOff>
      <xdr:row>19</xdr:row>
      <xdr:rowOff>10583</xdr:rowOff>
    </xdr:from>
    <xdr:to>
      <xdr:col>4</xdr:col>
      <xdr:colOff>207273</xdr:colOff>
      <xdr:row>20</xdr:row>
      <xdr:rowOff>135466</xdr:rowOff>
    </xdr:to>
    <xdr:pic>
      <xdr:nvPicPr>
        <xdr:cNvPr id="13" name="Picture 12">
          <a:extLst>
            <a:ext uri="{FF2B5EF4-FFF2-40B4-BE49-F238E27FC236}">
              <a16:creationId xmlns:a16="http://schemas.microsoft.com/office/drawing/2014/main" id="{00000000-0008-0000-1900-00000D000000}"/>
            </a:ext>
          </a:extLst>
        </xdr:cNvPr>
        <xdr:cNvPicPr>
          <a:picLocks noChangeAspect="1"/>
        </xdr:cNvPicPr>
      </xdr:nvPicPr>
      <xdr:blipFill>
        <a:blip xmlns:r="http://schemas.openxmlformats.org/officeDocument/2006/relationships" r:embed="rId3"/>
        <a:stretch>
          <a:fillRect/>
        </a:stretch>
      </xdr:blipFill>
      <xdr:spPr>
        <a:xfrm>
          <a:off x="2335741" y="5439833"/>
          <a:ext cx="623199" cy="325967"/>
        </a:xfrm>
        <a:prstGeom prst="rect">
          <a:avLst/>
        </a:prstGeom>
      </xdr:spPr>
    </xdr:pic>
    <xdr:clientData/>
  </xdr:twoCellAnchor>
  <xdr:twoCellAnchor>
    <xdr:from>
      <xdr:col>4</xdr:col>
      <xdr:colOff>207273</xdr:colOff>
      <xdr:row>19</xdr:row>
      <xdr:rowOff>105833</xdr:rowOff>
    </xdr:from>
    <xdr:to>
      <xdr:col>4</xdr:col>
      <xdr:colOff>412750</xdr:colOff>
      <xdr:row>19</xdr:row>
      <xdr:rowOff>173567</xdr:rowOff>
    </xdr:to>
    <xdr:cxnSp macro="">
      <xdr:nvCxnSpPr>
        <xdr:cNvPr id="14" name="AutoShape 3">
          <a:extLst>
            <a:ext uri="{FF2B5EF4-FFF2-40B4-BE49-F238E27FC236}">
              <a16:creationId xmlns:a16="http://schemas.microsoft.com/office/drawing/2014/main" id="{00000000-0008-0000-1900-00000E000000}"/>
            </a:ext>
          </a:extLst>
        </xdr:cNvPr>
        <xdr:cNvCxnSpPr>
          <a:cxnSpLocks noChangeShapeType="1"/>
          <a:stCxn id="13" idx="3"/>
        </xdr:cNvCxnSpPr>
      </xdr:nvCxnSpPr>
      <xdr:spPr bwMode="auto">
        <a:xfrm flipV="1">
          <a:off x="2958940" y="5535083"/>
          <a:ext cx="205477" cy="67734"/>
        </a:xfrm>
        <a:prstGeom prst="straightConnector1">
          <a:avLst/>
        </a:prstGeom>
        <a:noFill/>
        <a:ln w="38100">
          <a:solidFill>
            <a:srgbClr val="F2F2F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1F4D78">
                    <a:alpha val="50000"/>
                  </a:srgbClr>
                </a:outerShdw>
              </a:effectLst>
            </a14:hiddenEffects>
          </a:ext>
        </a:extLst>
      </xdr:spPr>
    </xdr:cxnSp>
    <xdr:clientData/>
  </xdr:twoCellAnchor>
  <xdr:twoCellAnchor>
    <xdr:from>
      <xdr:col>5</xdr:col>
      <xdr:colOff>612775</xdr:colOff>
      <xdr:row>20</xdr:row>
      <xdr:rowOff>34924</xdr:rowOff>
    </xdr:from>
    <xdr:to>
      <xdr:col>6</xdr:col>
      <xdr:colOff>159358</xdr:colOff>
      <xdr:row>21</xdr:row>
      <xdr:rowOff>25401</xdr:rowOff>
    </xdr:to>
    <xdr:cxnSp macro="">
      <xdr:nvCxnSpPr>
        <xdr:cNvPr id="15" name="AutoShape 3">
          <a:extLst>
            <a:ext uri="{FF2B5EF4-FFF2-40B4-BE49-F238E27FC236}">
              <a16:creationId xmlns:a16="http://schemas.microsoft.com/office/drawing/2014/main" id="{00000000-0008-0000-1900-00000F000000}"/>
            </a:ext>
          </a:extLst>
        </xdr:cNvPr>
        <xdr:cNvCxnSpPr>
          <a:cxnSpLocks noChangeShapeType="1"/>
        </xdr:cNvCxnSpPr>
      </xdr:nvCxnSpPr>
      <xdr:spPr bwMode="auto">
        <a:xfrm flipH="1" flipV="1">
          <a:off x="4052358" y="5665257"/>
          <a:ext cx="234500" cy="191561"/>
        </a:xfrm>
        <a:prstGeom prst="straightConnector1">
          <a:avLst/>
        </a:prstGeom>
        <a:noFill/>
        <a:ln w="38100">
          <a:solidFill>
            <a:srgbClr val="F2F2F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1F4D78">
                    <a:alpha val="50000"/>
                  </a:srgbClr>
                </a:outerShdw>
              </a:effectLst>
            </a14:hiddenEffects>
          </a:ext>
        </a:extLst>
      </xdr:spPr>
    </xdr:cxnSp>
    <xdr:clientData/>
  </xdr:twoCellAnchor>
  <xdr:twoCellAnchor editAs="oneCell">
    <xdr:from>
      <xdr:col>4</xdr:col>
      <xdr:colOff>265643</xdr:colOff>
      <xdr:row>23</xdr:row>
      <xdr:rowOff>191559</xdr:rowOff>
    </xdr:from>
    <xdr:to>
      <xdr:col>5</xdr:col>
      <xdr:colOff>158827</xdr:colOff>
      <xdr:row>25</xdr:row>
      <xdr:rowOff>143934</xdr:rowOff>
    </xdr:to>
    <xdr:pic>
      <xdr:nvPicPr>
        <xdr:cNvPr id="17" name="Picture 16">
          <a:extLst>
            <a:ext uri="{FF2B5EF4-FFF2-40B4-BE49-F238E27FC236}">
              <a16:creationId xmlns:a16="http://schemas.microsoft.com/office/drawing/2014/main" id="{00000000-0008-0000-1900-000011000000}"/>
            </a:ext>
          </a:extLst>
        </xdr:cNvPr>
        <xdr:cNvPicPr>
          <a:picLocks noChangeAspect="1"/>
        </xdr:cNvPicPr>
      </xdr:nvPicPr>
      <xdr:blipFill>
        <a:blip xmlns:r="http://schemas.openxmlformats.org/officeDocument/2006/relationships" r:embed="rId4"/>
        <a:stretch>
          <a:fillRect/>
        </a:stretch>
      </xdr:blipFill>
      <xdr:spPr>
        <a:xfrm>
          <a:off x="3017310" y="6425142"/>
          <a:ext cx="581100" cy="354541"/>
        </a:xfrm>
        <a:prstGeom prst="rect">
          <a:avLst/>
        </a:prstGeom>
      </xdr:spPr>
    </xdr:pic>
    <xdr:clientData/>
  </xdr:twoCellAnchor>
  <xdr:twoCellAnchor>
    <xdr:from>
      <xdr:col>4</xdr:col>
      <xdr:colOff>497416</xdr:colOff>
      <xdr:row>25</xdr:row>
      <xdr:rowOff>105833</xdr:rowOff>
    </xdr:from>
    <xdr:to>
      <xdr:col>4</xdr:col>
      <xdr:colOff>529166</xdr:colOff>
      <xdr:row>27</xdr:row>
      <xdr:rowOff>31750</xdr:rowOff>
    </xdr:to>
    <xdr:cxnSp macro="">
      <xdr:nvCxnSpPr>
        <xdr:cNvPr id="18" name="AutoShape 3">
          <a:extLst>
            <a:ext uri="{FF2B5EF4-FFF2-40B4-BE49-F238E27FC236}">
              <a16:creationId xmlns:a16="http://schemas.microsoft.com/office/drawing/2014/main" id="{00000000-0008-0000-1900-000012000000}"/>
            </a:ext>
          </a:extLst>
        </xdr:cNvPr>
        <xdr:cNvCxnSpPr>
          <a:cxnSpLocks noChangeShapeType="1"/>
        </xdr:cNvCxnSpPr>
      </xdr:nvCxnSpPr>
      <xdr:spPr bwMode="auto">
        <a:xfrm>
          <a:off x="3249083" y="6741583"/>
          <a:ext cx="31750" cy="328084"/>
        </a:xfrm>
        <a:prstGeom prst="straightConnector1">
          <a:avLst/>
        </a:prstGeom>
        <a:noFill/>
        <a:ln w="38100">
          <a:solidFill>
            <a:srgbClr val="F2F2F2"/>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28398" dir="3806097" algn="ctr" rotWithShape="0">
                  <a:srgbClr val="1F4D78">
                    <a:alpha val="50000"/>
                  </a:srgbClr>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1.%20Work/2.%20Dinh_gia/1.%202020/1.%202020/A.%20Do%20Dang/4.%20Nh&#224;%20xuong%20Hai%20Duong/1.2.%20File_tinh_nha_xuong.xlsx" TargetMode="External"/><Relationship Id="rId1" Type="http://schemas.openxmlformats.org/officeDocument/2006/relationships/externalLinkPath" Target="/D:/1.%20Work/2.%20Dinh_gia/1.%202020/1.%202020/A.%20Do%20Dang/4.%20Nh&#224;%20xuong%20Hai%20Duong/1.2.%20File_tinh_nha_xuo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oa%20Sen/Th&#225;ng%208.2024/8.%20Nh&#224;%20m&#225;y%20Bia%20trong%20Qu&#7843;ng%20Tr&#7883;/Ph&#432;&#417;ng%20&#225;n%202024/Ph&#432;&#417;ng%20&#225;n/&#272;&#7845;t.xlsx" TargetMode="External"/><Relationship Id="rId1" Type="http://schemas.openxmlformats.org/officeDocument/2006/relationships/externalLinkPath" Target="/Hoa%20Sen/Th&#225;ng%208.2024/8.%20Nh&#224;%20m&#225;y%20Bia%20trong%20Qu&#7843;ng%20Tr&#7883;/Ph&#432;&#417;ng%20&#225;n%202024/Ph&#432;&#417;ng%20&#225;n/&#272;&#7845;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10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10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57000000</v>
          </cell>
          <cell r="C27">
            <v>57000000</v>
          </cell>
          <cell r="D27">
            <v>57000000</v>
          </cell>
          <cell r="E27">
            <v>57000000</v>
          </cell>
          <cell r="F27">
            <v>57000000</v>
          </cell>
          <cell r="G27">
            <v>57000000</v>
          </cell>
          <cell r="H27">
            <v>57000000</v>
          </cell>
          <cell r="I27">
            <v>57000000</v>
          </cell>
          <cell r="J27">
            <v>57000000</v>
          </cell>
          <cell r="K27">
            <v>57000000</v>
          </cell>
          <cell r="L27">
            <v>57000000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xz"/>
      <sheetName val="TTCB"/>
      <sheetName val="HSTĐG"/>
      <sheetName val="KHTĐG"/>
      <sheetName val="Thông tin TSTĐ"/>
      <sheetName val="TSSS "/>
      <sheetName val="BĐC "/>
      <sheetName val="Nhà ở"/>
      <sheetName val="TH GTTS"/>
      <sheetName val="Đọc tiền"/>
      <sheetName val="TSSS1"/>
      <sheetName val="TSSS2"/>
      <sheetName val="TSSS3"/>
    </sheetNames>
    <sheetDataSet>
      <sheetData sheetId="0" refreshError="1"/>
      <sheetData sheetId="1" refreshError="1"/>
      <sheetData sheetId="2" refreshError="1"/>
      <sheetData sheetId="3" refreshError="1"/>
      <sheetData sheetId="4" refreshError="1"/>
      <sheetData sheetId="5" refreshError="1">
        <row r="18">
          <cell r="C18" t="str">
            <v>TSTĐ</v>
          </cell>
          <cell r="D18" t="str">
            <v>TSSS1</v>
          </cell>
          <cell r="E18" t="str">
            <v>TSSS2</v>
          </cell>
          <cell r="F18" t="str">
            <v>TSSS3</v>
          </cell>
        </row>
        <row r="25">
          <cell r="B25" t="str">
            <v>Tính chất giao dịch</v>
          </cell>
          <cell r="C25" t="str">
            <v>Giao dịch bình thường trên thị trường</v>
          </cell>
          <cell r="D25" t="str">
            <v>Giao dịch bình thường trên thị trường</v>
          </cell>
          <cell r="E25" t="str">
            <v>Giao dịch bình thường trên thị trường</v>
          </cell>
          <cell r="F25" t="str">
            <v>Giao dịch bình thường trên thị trường</v>
          </cell>
        </row>
        <row r="26">
          <cell r="C26" t="str">
            <v>Có Giấy chứng nhận Quyền sử dụng đất</v>
          </cell>
          <cell r="D26" t="str">
            <v>Có Giấy chứng nhận Quyền sử dụng đất</v>
          </cell>
          <cell r="E26" t="str">
            <v>Có Giấy chứng nhận Quyền sử dụng đất</v>
          </cell>
          <cell r="F26" t="str">
            <v>Có Giấy chứng nhận Quyền sử dụng đất</v>
          </cell>
        </row>
        <row r="27">
          <cell r="B27" t="str">
            <v>Mục đích sử dụng</v>
          </cell>
        </row>
        <row r="28">
          <cell r="B28" t="str">
            <v>Thời hạn sử dụng đất</v>
          </cell>
        </row>
        <row r="30">
          <cell r="B30" t="str">
            <v>Vị trí</v>
          </cell>
        </row>
        <row r="31">
          <cell r="B31" t="str">
            <v>Giao thông</v>
          </cell>
        </row>
        <row r="32">
          <cell r="B32" t="str">
            <v>Tổng diện tích đất (m²)</v>
          </cell>
        </row>
        <row r="35">
          <cell r="B35" t="str">
            <v>Mặt tiền (m)</v>
          </cell>
        </row>
        <row r="36">
          <cell r="B36" t="str">
            <v>Chiều sâu (m)</v>
          </cell>
          <cell r="C36">
            <v>10.25</v>
          </cell>
        </row>
        <row r="37">
          <cell r="B37" t="str">
            <v>Số lượng mặt tiếp giáp</v>
          </cell>
        </row>
        <row r="38">
          <cell r="B38" t="str">
            <v>Hình dáng thửa đất</v>
          </cell>
        </row>
        <row r="40">
          <cell r="B40" t="str">
            <v>Yếu tố phong thủy</v>
          </cell>
        </row>
        <row r="41">
          <cell r="B41" t="str">
            <v>Điều kiện cơ sở hạ tầng kỹ thuật</v>
          </cell>
        </row>
        <row r="42">
          <cell r="B42" t="str">
            <v>Điều kiện môi trường an ninh</v>
          </cell>
          <cell r="C42" t="str">
            <v>Nhìn ra sân Gofl</v>
          </cell>
          <cell r="D42" t="str">
            <v>Nhìn vào nội khu</v>
          </cell>
          <cell r="E42" t="str">
            <v>Nhìn ra sân Gofl</v>
          </cell>
          <cell r="F42" t="str">
            <v>Nhìn ra sân Gofl</v>
          </cell>
        </row>
      </sheetData>
      <sheetData sheetId="6" refreshError="1">
        <row r="5">
          <cell r="B5" t="str">
            <v>Tính chất giao dịch</v>
          </cell>
        </row>
        <row r="6">
          <cell r="E6">
            <v>0</v>
          </cell>
          <cell r="F6">
            <v>0</v>
          </cell>
          <cell r="G6">
            <v>0</v>
          </cell>
        </row>
        <row r="9">
          <cell r="B9" t="str">
            <v>Pháp lý</v>
          </cell>
        </row>
        <row r="10">
          <cell r="E10">
            <v>0</v>
          </cell>
          <cell r="F10">
            <v>0</v>
          </cell>
          <cell r="G10">
            <v>0</v>
          </cell>
        </row>
        <row r="13">
          <cell r="B13" t="str">
            <v>Mục đích sử dụng</v>
          </cell>
        </row>
        <row r="14">
          <cell r="E14">
            <v>0</v>
          </cell>
          <cell r="F14">
            <v>0</v>
          </cell>
          <cell r="G14">
            <v>0</v>
          </cell>
        </row>
        <row r="17">
          <cell r="B17" t="str">
            <v>Thời hạn sử dụng đất</v>
          </cell>
        </row>
        <row r="18">
          <cell r="E18">
            <v>0</v>
          </cell>
          <cell r="F18">
            <v>0</v>
          </cell>
          <cell r="G18">
            <v>0</v>
          </cell>
        </row>
        <row r="21">
          <cell r="B21" t="str">
            <v>Vị trí</v>
          </cell>
        </row>
        <row r="22">
          <cell r="E22">
            <v>0.1</v>
          </cell>
          <cell r="F22">
            <v>0.1</v>
          </cell>
          <cell r="G22">
            <v>0.1</v>
          </cell>
        </row>
        <row r="25">
          <cell r="B25" t="str">
            <v>Giao thông</v>
          </cell>
        </row>
        <row r="26">
          <cell r="E26">
            <v>0.15</v>
          </cell>
          <cell r="F26">
            <v>0.15</v>
          </cell>
          <cell r="G26">
            <v>0.15</v>
          </cell>
        </row>
        <row r="29">
          <cell r="B29" t="str">
            <v>Tổng diện tích đất (m²)</v>
          </cell>
        </row>
        <row r="30">
          <cell r="E30">
            <v>-0.15</v>
          </cell>
          <cell r="F30">
            <v>-0.15</v>
          </cell>
          <cell r="G30">
            <v>-7.0000000000000007E-2</v>
          </cell>
        </row>
        <row r="33">
          <cell r="B33" t="str">
            <v>Mặt tiền (m)</v>
          </cell>
        </row>
        <row r="34">
          <cell r="E34">
            <v>0.05</v>
          </cell>
          <cell r="F34">
            <v>0.05</v>
          </cell>
          <cell r="G34">
            <v>0.15</v>
          </cell>
        </row>
        <row r="37">
          <cell r="B37" t="str">
            <v>Chiều sâu (m)</v>
          </cell>
        </row>
        <row r="38">
          <cell r="E38">
            <v>0</v>
          </cell>
          <cell r="F38">
            <v>0</v>
          </cell>
          <cell r="G38">
            <v>0</v>
          </cell>
        </row>
        <row r="41">
          <cell r="B41" t="str">
            <v>Số lượng mặt tiếp giáp</v>
          </cell>
        </row>
        <row r="42">
          <cell r="E42">
            <v>0</v>
          </cell>
          <cell r="F42">
            <v>0</v>
          </cell>
          <cell r="G42">
            <v>0</v>
          </cell>
        </row>
        <row r="45">
          <cell r="B45" t="str">
            <v>Hình dáng thửa đất</v>
          </cell>
        </row>
        <row r="46">
          <cell r="E46">
            <v>-0.03</v>
          </cell>
          <cell r="F46">
            <v>-0.03</v>
          </cell>
          <cell r="G46">
            <v>-0.03</v>
          </cell>
        </row>
        <row r="49">
          <cell r="B49" t="str">
            <v>Điều kiện môi trường an ninh</v>
          </cell>
        </row>
        <row r="50">
          <cell r="E50">
            <v>0</v>
          </cell>
          <cell r="F50">
            <v>0</v>
          </cell>
          <cell r="G50">
            <v>0</v>
          </cell>
        </row>
        <row r="53">
          <cell r="B53" t="str">
            <v>Yếu tố phong thủy</v>
          </cell>
        </row>
        <row r="54">
          <cell r="E54">
            <v>0</v>
          </cell>
          <cell r="F54">
            <v>0</v>
          </cell>
          <cell r="G54">
            <v>0</v>
          </cell>
        </row>
        <row r="57">
          <cell r="B57" t="str">
            <v>Điều kiện cơ sở hạ tầng kỹ thuật</v>
          </cell>
        </row>
        <row r="58">
          <cell r="E58">
            <v>-0.1</v>
          </cell>
          <cell r="F58">
            <v>-0.1</v>
          </cell>
          <cell r="G58">
            <v>-0.1</v>
          </cell>
        </row>
        <row r="61">
          <cell r="B61" t="str">
            <v>Điều kiện môi trường an ninh</v>
          </cell>
        </row>
        <row r="62">
          <cell r="E62">
            <v>0</v>
          </cell>
          <cell r="F62">
            <v>0</v>
          </cell>
          <cell r="G62">
            <v>0</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google.com/maps/place/20%C2%B050'53.6%22N+105%C2%B046'51.7%22E/@20.8491689,105.7805587,616m/data=!3m1!1e3!4m4!3m3!8m2!3d20.8482075!4d105.7810135?entry=ttu" TargetMode="External"/><Relationship Id="rId2" Type="http://schemas.openxmlformats.org/officeDocument/2006/relationships/hyperlink" Target="https://www.google.com/maps/dir/20.8494936,105.7770811/@20.8493891,105.775888,366m/data=!3m1!1e3!4m2!4m1!3e0?entry=ttu" TargetMode="External"/><Relationship Id="rId1" Type="http://schemas.openxmlformats.org/officeDocument/2006/relationships/hyperlink" Target="https://www.google.com/maps/dir/20.8550418,105.7593041/@20.8520034,105.7565886,2072m/data=!3m1!1e3!4m2!4m1!3e0?entry=ttu" TargetMode="External"/><Relationship Id="rId4"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oogle.com/maps/place/20%C2%B050'38.3%22N+105%C2%B047'03.0%22E/@20.8451159,105.7652957,3484m/data=!3m1!1e3!4m4!3m3!8m2!3d20.8439722!4d105.7841667?entry=tt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796875" defaultRowHeight="15.6"/>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1"/>
  <sheetViews>
    <sheetView zoomScale="85" zoomScaleNormal="85" workbookViewId="0">
      <selection activeCell="D7" sqref="D7"/>
    </sheetView>
  </sheetViews>
  <sheetFormatPr defaultColWidth="8" defaultRowHeight="15.6"/>
  <cols>
    <col min="1" max="1" width="3.5" style="94" bestFit="1" customWidth="1"/>
    <col min="2" max="2" width="43.796875" style="94" customWidth="1"/>
    <col min="3" max="3" width="18" style="94" bestFit="1" customWidth="1"/>
    <col min="4" max="4" width="53" style="94" customWidth="1"/>
    <col min="5" max="5" width="7.5" style="94" customWidth="1"/>
    <col min="6" max="16384" width="8" style="94"/>
  </cols>
  <sheetData>
    <row r="1" spans="1:5">
      <c r="B1" s="115" t="s">
        <v>245</v>
      </c>
    </row>
    <row r="2" spans="1:5">
      <c r="B2" s="93" t="s">
        <v>244</v>
      </c>
      <c r="C2" s="113">
        <v>2022</v>
      </c>
    </row>
    <row r="3" spans="1:5">
      <c r="B3" s="93" t="s">
        <v>243</v>
      </c>
      <c r="C3" s="113">
        <v>2020</v>
      </c>
    </row>
    <row r="4" spans="1:5" ht="31.2">
      <c r="B4" s="114" t="s">
        <v>242</v>
      </c>
      <c r="C4" s="113" t="s">
        <v>241</v>
      </c>
    </row>
    <row r="5" spans="1:5">
      <c r="B5" s="114" t="s">
        <v>240</v>
      </c>
      <c r="C5" s="113">
        <v>25</v>
      </c>
    </row>
    <row r="6" spans="1:5">
      <c r="B6" s="38" t="str">
        <f>"+ Tỷ lệ chất lượng còn lại = 1- ("&amp;C2&amp;" - "&amp;C3&amp;")/"&amp;C5</f>
        <v>+ Tỷ lệ chất lượng còn lại = 1- (2022 - 2020)/25</v>
      </c>
      <c r="C6" s="112">
        <f>1-(C2-C3)/C5</f>
        <v>0.92</v>
      </c>
    </row>
    <row r="9" spans="1:5">
      <c r="A9" s="393" t="s">
        <v>239</v>
      </c>
      <c r="B9" s="393"/>
      <c r="C9" s="393"/>
      <c r="D9" s="393"/>
      <c r="E9" s="393"/>
    </row>
    <row r="10" spans="1:5" ht="109.2">
      <c r="A10" s="13" t="s">
        <v>121</v>
      </c>
      <c r="B10" s="13" t="s">
        <v>238</v>
      </c>
      <c r="C10" s="13" t="s">
        <v>123</v>
      </c>
      <c r="D10" s="13" t="s">
        <v>124</v>
      </c>
      <c r="E10" s="13" t="s">
        <v>125</v>
      </c>
    </row>
    <row r="11" spans="1:5" ht="31.2">
      <c r="A11" s="109" t="s">
        <v>126</v>
      </c>
      <c r="B11" s="109" t="s">
        <v>127</v>
      </c>
      <c r="C11" s="109" t="s">
        <v>128</v>
      </c>
      <c r="D11" s="109" t="s">
        <v>129</v>
      </c>
      <c r="E11" s="109" t="s">
        <v>130</v>
      </c>
    </row>
    <row r="12" spans="1:5">
      <c r="A12" s="99">
        <v>1</v>
      </c>
      <c r="B12" s="106" t="s">
        <v>48</v>
      </c>
      <c r="C12" s="105">
        <v>0.08</v>
      </c>
      <c r="D12" s="104">
        <v>0.68</v>
      </c>
      <c r="E12" s="104">
        <f t="shared" ref="E12:E17" si="0">+C12*D12/$C$18</f>
        <v>8.7741935483870978E-2</v>
      </c>
    </row>
    <row r="13" spans="1:5">
      <c r="A13" s="99">
        <v>2</v>
      </c>
      <c r="B13" s="106" t="s">
        <v>131</v>
      </c>
      <c r="C13" s="105">
        <v>0.1</v>
      </c>
      <c r="D13" s="104">
        <v>0.68</v>
      </c>
      <c r="E13" s="104">
        <f t="shared" si="0"/>
        <v>0.10967741935483871</v>
      </c>
    </row>
    <row r="14" spans="1:5">
      <c r="A14" s="99">
        <v>3</v>
      </c>
      <c r="B14" s="106" t="s">
        <v>49</v>
      </c>
      <c r="C14" s="105">
        <v>0.12</v>
      </c>
      <c r="D14" s="104">
        <v>0.68</v>
      </c>
      <c r="E14" s="104">
        <f t="shared" si="0"/>
        <v>0.13161290322580646</v>
      </c>
    </row>
    <row r="15" spans="1:5">
      <c r="A15" s="99">
        <v>4</v>
      </c>
      <c r="B15" s="106" t="s">
        <v>50</v>
      </c>
      <c r="C15" s="105">
        <v>0.06</v>
      </c>
      <c r="D15" s="104">
        <v>0.68</v>
      </c>
      <c r="E15" s="104">
        <f t="shared" si="0"/>
        <v>6.580645161290323E-2</v>
      </c>
    </row>
    <row r="16" spans="1:5">
      <c r="A16" s="99">
        <v>5</v>
      </c>
      <c r="B16" s="106" t="s">
        <v>51</v>
      </c>
      <c r="C16" s="105">
        <v>0.08</v>
      </c>
      <c r="D16" s="104">
        <v>0.68</v>
      </c>
      <c r="E16" s="104">
        <f t="shared" si="0"/>
        <v>8.7741935483870978E-2</v>
      </c>
    </row>
    <row r="17" spans="1:5">
      <c r="A17" s="99">
        <v>6</v>
      </c>
      <c r="B17" s="106" t="s">
        <v>52</v>
      </c>
      <c r="C17" s="105">
        <v>0.18</v>
      </c>
      <c r="D17" s="104">
        <v>0.68</v>
      </c>
      <c r="E17" s="104">
        <f t="shared" si="0"/>
        <v>0.1974193548387097</v>
      </c>
    </row>
    <row r="18" spans="1:5">
      <c r="A18" s="13"/>
      <c r="B18" s="13" t="s">
        <v>132</v>
      </c>
      <c r="C18" s="104">
        <f>SUM(C12:C17)</f>
        <v>0.62</v>
      </c>
      <c r="D18" s="101"/>
      <c r="E18" s="101"/>
    </row>
    <row r="19" spans="1:5">
      <c r="A19" s="103"/>
      <c r="B19" s="102" t="s">
        <v>133</v>
      </c>
      <c r="C19" s="101"/>
      <c r="D19" s="101"/>
      <c r="E19" s="100">
        <f>SUM(E12:E17)</f>
        <v>0.68000000000000016</v>
      </c>
    </row>
    <row r="20" spans="1:5">
      <c r="A20" s="42"/>
    </row>
    <row r="21" spans="1:5">
      <c r="B21" s="17"/>
      <c r="C21" s="110"/>
    </row>
    <row r="22" spans="1:5">
      <c r="B22" s="17"/>
      <c r="C22" s="107"/>
    </row>
    <row r="23" spans="1:5" ht="46.8">
      <c r="B23" s="17" t="str">
        <f>"Tổ thẩm định xác định Tỷ lệ chất lượng còn lại của tài sản là giá trị trung bình của 2 phương pháp = ("&amp;TEXT(C6,"0%")&amp;" + "&amp;TEXT(E19,"0%")&amp;")/2 = "&amp;TEXT(C23,"0%")</f>
        <v>Tổ thẩm định xác định Tỷ lệ chất lượng còn lại của tài sản là giá trị trung bình của 2 phương pháp = (92% + 68%)/2 = 50%</v>
      </c>
      <c r="C23" s="111">
        <v>0.5</v>
      </c>
    </row>
    <row r="24" spans="1:5">
      <c r="B24" s="17"/>
      <c r="C24" s="108"/>
    </row>
    <row r="25" spans="1:5">
      <c r="B25" s="17"/>
      <c r="C25" s="108"/>
    </row>
    <row r="26" spans="1:5">
      <c r="B26" s="17" t="s">
        <v>253</v>
      </c>
      <c r="C26" s="130">
        <f>7330000/1.1</f>
        <v>6663636.3636363633</v>
      </c>
    </row>
    <row r="27" spans="1:5">
      <c r="B27" s="17" t="s">
        <v>251</v>
      </c>
      <c r="C27" s="131">
        <v>0.93500000000000005</v>
      </c>
    </row>
    <row r="28" spans="1:5">
      <c r="B28" s="17" t="s">
        <v>252</v>
      </c>
      <c r="C28" s="132">
        <f>C26*C27</f>
        <v>6230500</v>
      </c>
    </row>
    <row r="29" spans="1:5">
      <c r="B29" s="17"/>
      <c r="C29" s="130"/>
    </row>
    <row r="30" spans="1:5">
      <c r="B30" s="17"/>
      <c r="C30" s="108"/>
    </row>
    <row r="31" spans="1:5">
      <c r="B31" s="17"/>
    </row>
    <row r="32" spans="1:5">
      <c r="A32" s="98" t="s">
        <v>121</v>
      </c>
      <c r="B32" s="13" t="s">
        <v>237</v>
      </c>
      <c r="C32" s="98" t="s">
        <v>236</v>
      </c>
      <c r="D32" s="94" t="s">
        <v>265</v>
      </c>
    </row>
    <row r="33" spans="1:4">
      <c r="A33" s="98">
        <v>1</v>
      </c>
      <c r="B33" s="38" t="s">
        <v>235</v>
      </c>
      <c r="C33" s="126">
        <f>+C34*C35</f>
        <v>934575000</v>
      </c>
      <c r="D33" s="146">
        <v>4780000</v>
      </c>
    </row>
    <row r="34" spans="1:4">
      <c r="A34" s="99" t="s">
        <v>65</v>
      </c>
      <c r="B34" s="93" t="s">
        <v>234</v>
      </c>
      <c r="C34" s="127">
        <v>150</v>
      </c>
    </row>
    <row r="35" spans="1:4">
      <c r="A35" s="99" t="s">
        <v>65</v>
      </c>
      <c r="B35" s="93" t="s">
        <v>174</v>
      </c>
      <c r="C35" s="128">
        <f>C28</f>
        <v>6230500</v>
      </c>
      <c r="D35" s="130">
        <f>D33*C27</f>
        <v>4469300</v>
      </c>
    </row>
    <row r="36" spans="1:4">
      <c r="A36" s="98">
        <v>2</v>
      </c>
      <c r="B36" s="35" t="s">
        <v>233</v>
      </c>
      <c r="C36" s="129">
        <v>0.75</v>
      </c>
      <c r="D36" s="108">
        <v>0.6</v>
      </c>
    </row>
    <row r="37" spans="1:4" ht="31.2">
      <c r="A37" s="98">
        <v>3</v>
      </c>
      <c r="B37" s="35" t="s">
        <v>232</v>
      </c>
      <c r="C37" s="97">
        <f>ROUND(C33*C36,0)</f>
        <v>700931250</v>
      </c>
    </row>
    <row r="38" spans="1:4">
      <c r="C38" s="96"/>
    </row>
    <row r="39" spans="1:4" ht="69" customHeight="1"/>
    <row r="41" spans="1:4">
      <c r="D41" s="95"/>
    </row>
  </sheetData>
  <mergeCells count="1">
    <mergeCell ref="A9:E9"/>
  </mergeCells>
  <pageMargins left="0.7" right="0.7" top="0.75" bottom="0.75" header="0.3" footer="0.3"/>
  <pageSetup paperSize="9" scale="13" fitToHeight="0" orientation="portrait" r:id="rId1"/>
  <drawing r:id="rId2"/>
  <legacyDrawing r:id="rId3"/>
  <oleObjects>
    <mc:AlternateContent xmlns:mc="http://schemas.openxmlformats.org/markup-compatibility/2006">
      <mc:Choice Requires="x14">
        <oleObject progId="Worksheet" shapeId="13313" r:id="rId4">
          <objectPr defaultSize="0" autoPict="0" r:id="rId5">
            <anchor moveWithCells="1">
              <from>
                <xdr:col>5</xdr:col>
                <xdr:colOff>304800</xdr:colOff>
                <xdr:row>3</xdr:row>
                <xdr:rowOff>129540</xdr:rowOff>
              </from>
              <to>
                <xdr:col>48</xdr:col>
                <xdr:colOff>53340</xdr:colOff>
                <xdr:row>55</xdr:row>
                <xdr:rowOff>152400</xdr:rowOff>
              </to>
            </anchor>
          </objectPr>
        </oleObject>
      </mc:Choice>
      <mc:Fallback>
        <oleObject progId="Worksheet" shapeId="13313"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9"/>
  <sheetViews>
    <sheetView zoomScale="88" workbookViewId="0">
      <selection activeCell="F13" sqref="F13"/>
    </sheetView>
  </sheetViews>
  <sheetFormatPr defaultColWidth="8.796875" defaultRowHeight="15.6"/>
  <cols>
    <col min="1" max="1" width="4.5" customWidth="1"/>
    <col min="2" max="2" width="33.296875" customWidth="1"/>
    <col min="3" max="3" width="16.59765625" customWidth="1"/>
    <col min="4" max="4" width="14.796875" customWidth="1"/>
    <col min="5" max="5" width="8.296875" customWidth="1"/>
    <col min="6" max="6" width="24.296875" customWidth="1"/>
    <col min="7" max="7" width="14.5" bestFit="1" customWidth="1"/>
    <col min="8" max="8" width="18.5" style="119" customWidth="1"/>
    <col min="9" max="9" width="12.5" style="119" bestFit="1" customWidth="1"/>
  </cols>
  <sheetData>
    <row r="1" spans="1:8" ht="31.2">
      <c r="A1" s="44" t="s">
        <v>121</v>
      </c>
      <c r="B1" s="44" t="s">
        <v>173</v>
      </c>
      <c r="C1" s="44" t="s">
        <v>295</v>
      </c>
      <c r="D1" s="44" t="s">
        <v>174</v>
      </c>
      <c r="E1" s="44" t="s">
        <v>228</v>
      </c>
      <c r="F1" s="44" t="s">
        <v>175</v>
      </c>
      <c r="G1" s="43"/>
      <c r="H1" s="117"/>
    </row>
    <row r="2" spans="1:8" ht="53.55" customHeight="1">
      <c r="A2" s="190">
        <v>1</v>
      </c>
      <c r="B2" s="395" t="str">
        <f>'TSSS '!C7</f>
        <v>Cụm Công nghiệp Âu Lâu, thôn Châu Giang, xã Âu Lâu, thành phố Yên Bái, tỉnh Yên Bái</v>
      </c>
      <c r="C2" s="396"/>
      <c r="D2" s="396"/>
      <c r="E2" s="397"/>
      <c r="F2" s="191">
        <f>F5</f>
        <v>31935104040.700001</v>
      </c>
      <c r="G2" s="43"/>
      <c r="H2" s="147"/>
    </row>
    <row r="3" spans="1:8">
      <c r="A3" s="46" t="s">
        <v>65</v>
      </c>
      <c r="B3" s="188" t="s">
        <v>379</v>
      </c>
      <c r="C3" s="187">
        <f>'TSSS '!C18</f>
        <v>19729.7</v>
      </c>
      <c r="D3" s="183">
        <f>'BĐC '!H65</f>
        <v>1618631</v>
      </c>
      <c r="E3" s="184">
        <v>1</v>
      </c>
      <c r="F3" s="45">
        <f>D3*C3*E3</f>
        <v>31935104040.700001</v>
      </c>
      <c r="G3" s="43"/>
      <c r="H3" s="147"/>
    </row>
    <row r="4" spans="1:8" ht="25.95" hidden="1" customHeight="1">
      <c r="A4" s="46" t="s">
        <v>65</v>
      </c>
      <c r="B4" s="47" t="s">
        <v>328</v>
      </c>
      <c r="C4" s="185">
        <v>84.6</v>
      </c>
      <c r="D4" s="183">
        <f>5603000</f>
        <v>5603000</v>
      </c>
      <c r="E4" s="184"/>
      <c r="F4" s="45">
        <f t="shared" ref="F4" si="0">D4*C4*E4</f>
        <v>0</v>
      </c>
      <c r="G4" s="43"/>
      <c r="H4" s="147"/>
    </row>
    <row r="5" spans="1:8">
      <c r="A5" s="50"/>
      <c r="B5" s="401" t="s">
        <v>176</v>
      </c>
      <c r="C5" s="402"/>
      <c r="D5" s="402"/>
      <c r="E5" s="403"/>
      <c r="F5" s="48">
        <f>F3+F4</f>
        <v>31935104040.700001</v>
      </c>
      <c r="G5" s="144"/>
      <c r="H5" s="148"/>
    </row>
    <row r="6" spans="1:8">
      <c r="A6" s="49"/>
      <c r="B6" s="401" t="s">
        <v>339</v>
      </c>
      <c r="C6" s="402"/>
      <c r="D6" s="402"/>
      <c r="E6" s="403"/>
      <c r="F6" s="48">
        <f>ROUND(F5,-6)</f>
        <v>31935000000</v>
      </c>
      <c r="G6" s="43"/>
      <c r="H6" s="117"/>
    </row>
    <row r="7" spans="1:8" ht="16.2">
      <c r="A7" s="394" t="str">
        <f>"(Bằng chữ: "&amp;'Đọc tiền'!B3&amp;")"</f>
        <v>(Bằng chữ: Ba mươi mốt tỷ chín trăm ba mươi lăm triệu đồng./.)</v>
      </c>
      <c r="B7" s="394"/>
      <c r="C7" s="394"/>
      <c r="D7" s="394"/>
      <c r="E7" s="394"/>
      <c r="F7" s="394"/>
      <c r="G7" s="43"/>
      <c r="H7" s="117"/>
    </row>
    <row r="8" spans="1:8">
      <c r="A8" s="43"/>
      <c r="B8" s="398" t="s">
        <v>306</v>
      </c>
      <c r="C8" s="399"/>
      <c r="D8" s="399"/>
      <c r="E8" s="399"/>
      <c r="F8" s="399"/>
      <c r="G8" s="43"/>
      <c r="H8" s="117"/>
    </row>
    <row r="9" spans="1:8" ht="48" customHeight="1">
      <c r="A9" s="161"/>
      <c r="B9" s="400"/>
      <c r="C9" s="400"/>
      <c r="D9" s="400"/>
      <c r="E9" s="400"/>
      <c r="F9" s="400"/>
      <c r="H9" s="160">
        <f>45000*35</f>
        <v>1575000</v>
      </c>
    </row>
    <row r="10" spans="1:8">
      <c r="B10" s="145"/>
      <c r="F10" s="119"/>
    </row>
    <row r="11" spans="1:8" ht="16.8">
      <c r="B11" s="193"/>
      <c r="D11" s="118"/>
    </row>
    <row r="12" spans="1:8" ht="16.8">
      <c r="B12" s="189"/>
      <c r="H12" s="119">
        <f>6000/50</f>
        <v>120</v>
      </c>
    </row>
    <row r="13" spans="1:8" ht="18.600000000000001">
      <c r="B13" s="186"/>
    </row>
    <row r="15" spans="1:8">
      <c r="B15" s="145"/>
    </row>
    <row r="17" spans="2:6">
      <c r="B17" s="192"/>
    </row>
    <row r="23" spans="2:6">
      <c r="B23" s="192"/>
      <c r="F23">
        <f>15000/180</f>
        <v>83.333333333333329</v>
      </c>
    </row>
    <row r="27" spans="2:6">
      <c r="B27" s="192"/>
    </row>
    <row r="32" spans="2:6">
      <c r="B32" t="s">
        <v>308</v>
      </c>
    </row>
    <row r="33" spans="2:3">
      <c r="B33" t="s">
        <v>309</v>
      </c>
    </row>
    <row r="34" spans="2:3">
      <c r="B34" t="s">
        <v>310</v>
      </c>
    </row>
    <row r="35" spans="2:3">
      <c r="B35" t="s">
        <v>311</v>
      </c>
    </row>
    <row r="36" spans="2:3">
      <c r="B36" t="s">
        <v>312</v>
      </c>
      <c r="C36" t="s">
        <v>324</v>
      </c>
    </row>
    <row r="37" spans="2:3">
      <c r="B37" t="s">
        <v>313</v>
      </c>
    </row>
    <row r="38" spans="2:3">
      <c r="B38" t="s">
        <v>314</v>
      </c>
    </row>
    <row r="39" spans="2:3">
      <c r="B39" t="s">
        <v>315</v>
      </c>
    </row>
    <row r="40" spans="2:3">
      <c r="B40" t="s">
        <v>316</v>
      </c>
      <c r="C40" t="s">
        <v>317</v>
      </c>
    </row>
    <row r="41" spans="2:3">
      <c r="B41" t="s">
        <v>318</v>
      </c>
    </row>
    <row r="42" spans="2:3">
      <c r="B42" t="s">
        <v>319</v>
      </c>
    </row>
    <row r="43" spans="2:3">
      <c r="B43" t="s">
        <v>320</v>
      </c>
    </row>
    <row r="44" spans="2:3">
      <c r="B44" t="s">
        <v>321</v>
      </c>
      <c r="C44" t="s">
        <v>323</v>
      </c>
    </row>
    <row r="45" spans="2:3">
      <c r="B45" t="s">
        <v>322</v>
      </c>
    </row>
    <row r="49" spans="10:10">
      <c r="J49" t="s">
        <v>300</v>
      </c>
    </row>
  </sheetData>
  <mergeCells count="5">
    <mergeCell ref="A7:F7"/>
    <mergeCell ref="B2:E2"/>
    <mergeCell ref="B8:F9"/>
    <mergeCell ref="B5:E5"/>
    <mergeCell ref="B6:E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7"/>
  <sheetViews>
    <sheetView topLeftCell="B1" zoomScale="88" workbookViewId="0">
      <selection activeCell="F2" sqref="F2:I2"/>
    </sheetView>
  </sheetViews>
  <sheetFormatPr defaultColWidth="8.796875" defaultRowHeight="13.8"/>
  <cols>
    <col min="1" max="1" width="9.69921875" style="214" customWidth="1"/>
    <col min="2" max="2" width="33.296875" style="214" customWidth="1"/>
    <col min="3" max="3" width="11.5" style="214" customWidth="1"/>
    <col min="4" max="4" width="40.59765625" style="214" customWidth="1"/>
    <col min="5" max="5" width="8.69921875" style="214" customWidth="1"/>
    <col min="6" max="6" width="24.296875" style="214" customWidth="1"/>
    <col min="7" max="7" width="12" style="214" customWidth="1"/>
    <col min="8" max="8" width="16.5" style="215" hidden="1" customWidth="1"/>
    <col min="9" max="9" width="12.5" style="215" hidden="1" customWidth="1"/>
    <col min="10" max="16384" width="8.796875" style="214"/>
  </cols>
  <sheetData>
    <row r="1" spans="1:9" s="215" customFormat="1" ht="57.75" customHeight="1">
      <c r="A1" s="214"/>
      <c r="B1" s="218" t="s">
        <v>365</v>
      </c>
      <c r="C1" s="219"/>
      <c r="D1" s="218" t="s">
        <v>364</v>
      </c>
      <c r="E1" s="219"/>
      <c r="F1" s="404" t="s">
        <v>366</v>
      </c>
      <c r="G1" s="404"/>
      <c r="H1" s="404"/>
      <c r="I1" s="404"/>
    </row>
    <row r="2" spans="1:9" s="215" customFormat="1" ht="57.75" customHeight="1">
      <c r="A2" s="214"/>
      <c r="B2" s="220" t="s">
        <v>363</v>
      </c>
      <c r="C2" s="219"/>
      <c r="D2" s="220" t="s">
        <v>367</v>
      </c>
      <c r="E2" s="219"/>
      <c r="F2" s="406" t="s">
        <v>368</v>
      </c>
      <c r="G2" s="407"/>
      <c r="H2" s="407"/>
      <c r="I2" s="407"/>
    </row>
    <row r="3" spans="1:9" s="215" customFormat="1">
      <c r="A3" s="214" t="s">
        <v>158</v>
      </c>
      <c r="B3" s="217" t="s">
        <v>360</v>
      </c>
      <c r="C3" s="214"/>
      <c r="D3" s="214" t="s">
        <v>361</v>
      </c>
      <c r="E3" s="214"/>
      <c r="F3" s="405" t="s">
        <v>362</v>
      </c>
      <c r="G3" s="405"/>
      <c r="H3" s="405"/>
      <c r="I3" s="405"/>
    </row>
    <row r="5" spans="1:9" s="215" customFormat="1">
      <c r="A5" s="214"/>
      <c r="B5" s="213"/>
      <c r="C5" s="214"/>
      <c r="D5" s="214"/>
      <c r="E5" s="214"/>
      <c r="F5" s="214"/>
      <c r="G5" s="214"/>
    </row>
    <row r="7" spans="1:9">
      <c r="B7" s="216"/>
    </row>
    <row r="13" spans="1:9">
      <c r="B13" s="216"/>
    </row>
    <row r="17" spans="2:2">
      <c r="B17" s="216"/>
    </row>
  </sheetData>
  <mergeCells count="3">
    <mergeCell ref="F1:I1"/>
    <mergeCell ref="F3:I3"/>
    <mergeCell ref="F2:I2"/>
  </mergeCells>
  <hyperlinks>
    <hyperlink ref="B2" r:id="rId1" xr:uid="{00000000-0004-0000-0900-000000000000}"/>
    <hyperlink ref="D2" r:id="rId2" xr:uid="{00000000-0004-0000-0900-000001000000}"/>
    <hyperlink ref="F2" r:id="rId3" xr:uid="{00000000-0004-0000-0900-000002000000}"/>
  </hyperlinks>
  <pageMargins left="0.7" right="0.7" top="0.75" bottom="0.75" header="0.3" footer="0.3"/>
  <pageSetup paperSize="9"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E11" sqref="E11"/>
    </sheetView>
  </sheetViews>
  <sheetFormatPr defaultColWidth="8.796875" defaultRowHeight="15.6"/>
  <cols>
    <col min="1" max="1" width="3.5" customWidth="1"/>
    <col min="2" max="2" width="40.09765625" customWidth="1"/>
    <col min="3" max="3" width="14" style="159" customWidth="1"/>
    <col min="4" max="4" width="13.09765625" customWidth="1"/>
    <col min="5" max="5" width="14.59765625" customWidth="1"/>
  </cols>
  <sheetData>
    <row r="1" spans="1:8">
      <c r="B1" s="173"/>
      <c r="C1" s="164"/>
      <c r="D1" s="173"/>
      <c r="E1" s="173"/>
    </row>
    <row r="2" spans="1:8">
      <c r="A2" s="173"/>
      <c r="B2" s="171" t="s">
        <v>276</v>
      </c>
      <c r="C2" s="171" t="s">
        <v>278</v>
      </c>
      <c r="D2" s="171" t="s">
        <v>279</v>
      </c>
      <c r="E2" s="171" t="s">
        <v>277</v>
      </c>
    </row>
    <row r="3" spans="1:8">
      <c r="A3" s="173">
        <v>1</v>
      </c>
      <c r="B3" s="173" t="s">
        <v>280</v>
      </c>
      <c r="C3" s="164">
        <v>90</v>
      </c>
      <c r="D3" s="169">
        <v>90000000</v>
      </c>
      <c r="E3" s="169">
        <f>C3*D3</f>
        <v>8100000000</v>
      </c>
      <c r="G3" t="s">
        <v>285</v>
      </c>
      <c r="H3" t="s">
        <v>284</v>
      </c>
    </row>
    <row r="4" spans="1:8">
      <c r="A4" s="173">
        <v>2</v>
      </c>
      <c r="B4" s="173" t="s">
        <v>281</v>
      </c>
      <c r="C4" s="164">
        <v>120.1</v>
      </c>
      <c r="D4" s="169">
        <v>25000000</v>
      </c>
      <c r="E4" s="169">
        <f t="shared" ref="E4:E9" si="0">C4*D4</f>
        <v>3002500000</v>
      </c>
    </row>
    <row r="5" spans="1:8">
      <c r="A5" s="173">
        <v>3</v>
      </c>
      <c r="B5" s="173" t="s">
        <v>281</v>
      </c>
      <c r="C5" s="164">
        <v>157.1</v>
      </c>
      <c r="D5" s="169">
        <v>15000000</v>
      </c>
      <c r="E5" s="169">
        <f t="shared" si="0"/>
        <v>2356500000</v>
      </c>
    </row>
    <row r="6" spans="1:8">
      <c r="A6" s="173">
        <v>4</v>
      </c>
      <c r="B6" s="173" t="s">
        <v>281</v>
      </c>
      <c r="C6" s="164">
        <v>90</v>
      </c>
      <c r="D6" s="169">
        <v>37000000</v>
      </c>
      <c r="E6" s="169">
        <f t="shared" si="0"/>
        <v>3330000000</v>
      </c>
    </row>
    <row r="7" spans="1:8">
      <c r="A7" s="173">
        <v>5</v>
      </c>
      <c r="B7" s="173" t="s">
        <v>281</v>
      </c>
      <c r="C7" s="164">
        <v>88.8</v>
      </c>
      <c r="D7" s="169">
        <v>40000000</v>
      </c>
      <c r="E7" s="169">
        <f t="shared" si="0"/>
        <v>3552000000</v>
      </c>
    </row>
    <row r="8" spans="1:8">
      <c r="A8" s="173">
        <v>6</v>
      </c>
      <c r="B8" s="173" t="s">
        <v>282</v>
      </c>
      <c r="C8" s="164">
        <v>86</v>
      </c>
      <c r="D8" s="169">
        <v>45000000</v>
      </c>
      <c r="E8" s="169">
        <f t="shared" si="0"/>
        <v>3870000000</v>
      </c>
      <c r="F8" t="s">
        <v>287</v>
      </c>
    </row>
    <row r="9" spans="1:8">
      <c r="A9" s="411">
        <v>7</v>
      </c>
      <c r="B9" s="173" t="s">
        <v>281</v>
      </c>
      <c r="C9" s="164">
        <v>361.6</v>
      </c>
      <c r="D9" s="169">
        <v>28000000</v>
      </c>
      <c r="E9" s="169">
        <f t="shared" si="0"/>
        <v>10124800000</v>
      </c>
    </row>
    <row r="10" spans="1:8">
      <c r="A10" s="412"/>
      <c r="B10" s="173" t="s">
        <v>286</v>
      </c>
      <c r="C10" s="164">
        <f>481</f>
        <v>481</v>
      </c>
      <c r="D10" s="169">
        <f>7330000*0.965*0.8</f>
        <v>5658760</v>
      </c>
      <c r="E10" s="169">
        <f>D10*C10</f>
        <v>2721863560</v>
      </c>
    </row>
    <row r="11" spans="1:8">
      <c r="A11" s="413"/>
      <c r="B11" s="408"/>
      <c r="C11" s="409"/>
      <c r="D11" s="410"/>
      <c r="E11" s="169">
        <f>E9+E10</f>
        <v>12846663560</v>
      </c>
    </row>
    <row r="12" spans="1:8">
      <c r="A12" s="173"/>
      <c r="B12" s="414" t="s">
        <v>283</v>
      </c>
      <c r="C12" s="415"/>
      <c r="D12" s="416"/>
      <c r="E12" s="174">
        <f>SUM(E3+E4+E5+E6+E7+E8+E11)</f>
        <v>37057663560</v>
      </c>
    </row>
  </sheetData>
  <mergeCells count="3">
    <mergeCell ref="B11:D11"/>
    <mergeCell ref="A9:A11"/>
    <mergeCell ref="B12:D1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G5:K10"/>
  <sheetViews>
    <sheetView workbookViewId="0">
      <selection activeCell="I5" sqref="I5"/>
    </sheetView>
  </sheetViews>
  <sheetFormatPr defaultColWidth="8.796875" defaultRowHeight="15.6"/>
  <cols>
    <col min="7" max="7" width="22.5" customWidth="1"/>
    <col min="8" max="8" width="15.5" customWidth="1"/>
    <col min="9" max="9" width="8.59765625" bestFit="1" customWidth="1"/>
    <col min="10" max="10" width="12.5" bestFit="1" customWidth="1"/>
    <col min="11" max="11" width="17" customWidth="1"/>
  </cols>
  <sheetData>
    <row r="5" spans="7:11">
      <c r="G5" s="182" t="s">
        <v>0</v>
      </c>
      <c r="H5" s="182" t="s">
        <v>276</v>
      </c>
      <c r="I5" s="182" t="s">
        <v>271</v>
      </c>
      <c r="J5" s="182" t="s">
        <v>159</v>
      </c>
      <c r="K5" s="182" t="s">
        <v>277</v>
      </c>
    </row>
    <row r="6" spans="7:11" ht="62.1" customHeight="1">
      <c r="G6" s="417" t="s">
        <v>292</v>
      </c>
      <c r="H6" s="58" t="s">
        <v>293</v>
      </c>
      <c r="I6" s="180">
        <v>75</v>
      </c>
      <c r="J6" s="180">
        <v>70500000</v>
      </c>
      <c r="K6" s="180">
        <f>I6*J6</f>
        <v>5287500000</v>
      </c>
    </row>
    <row r="7" spans="7:11">
      <c r="G7" s="418"/>
      <c r="H7" s="58" t="s">
        <v>294</v>
      </c>
      <c r="I7" s="180">
        <f>75*6</f>
        <v>450</v>
      </c>
      <c r="J7" s="180">
        <f>7330000*0.965*0.95</f>
        <v>6719777.5</v>
      </c>
      <c r="K7" s="180">
        <f>I7*J7+400000000</f>
        <v>3423899875</v>
      </c>
    </row>
    <row r="8" spans="7:11">
      <c r="G8" s="414" t="s">
        <v>44</v>
      </c>
      <c r="H8" s="415"/>
      <c r="I8" s="415"/>
      <c r="J8" s="416"/>
      <c r="K8" s="181">
        <f>SUM(K6:K7)</f>
        <v>8711399875</v>
      </c>
    </row>
    <row r="10" spans="7:11">
      <c r="K10" s="163">
        <f>K6*0.85+K7*0.5</f>
        <v>6206324937.5</v>
      </c>
    </row>
  </sheetData>
  <mergeCells count="2">
    <mergeCell ref="G6:G7"/>
    <mergeCell ref="G8:J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F3:K21"/>
  <sheetViews>
    <sheetView zoomScale="85" zoomScaleNormal="85" workbookViewId="0">
      <selection activeCell="F24" sqref="F24"/>
    </sheetView>
  </sheetViews>
  <sheetFormatPr defaultColWidth="8.796875" defaultRowHeight="15.6"/>
  <cols>
    <col min="5" max="5" width="15" customWidth="1"/>
    <col min="6" max="6" width="37" customWidth="1"/>
    <col min="7" max="7" width="17.296875" bestFit="1" customWidth="1"/>
    <col min="8" max="8" width="16" bestFit="1" customWidth="1"/>
    <col min="9" max="9" width="17" customWidth="1"/>
    <col min="10" max="11" width="16" bestFit="1" customWidth="1"/>
  </cols>
  <sheetData>
    <row r="3" spans="6:11">
      <c r="F3" s="164"/>
      <c r="G3" s="171" t="s">
        <v>271</v>
      </c>
      <c r="H3" s="171" t="s">
        <v>267</v>
      </c>
      <c r="I3" s="171" t="s">
        <v>272</v>
      </c>
    </row>
    <row r="4" spans="6:11">
      <c r="F4" s="164" t="s">
        <v>269</v>
      </c>
      <c r="G4" s="164">
        <v>122.8</v>
      </c>
      <c r="H4" s="165">
        <v>30000000</v>
      </c>
      <c r="I4" s="167">
        <f>G4*H4</f>
        <v>3684000000</v>
      </c>
    </row>
    <row r="5" spans="6:11">
      <c r="F5" s="170"/>
      <c r="G5" s="171" t="s">
        <v>271</v>
      </c>
      <c r="H5" s="171" t="s">
        <v>267</v>
      </c>
      <c r="I5" s="171" t="s">
        <v>272</v>
      </c>
    </row>
    <row r="6" spans="6:11">
      <c r="F6" s="419" t="s">
        <v>270</v>
      </c>
      <c r="G6" s="164">
        <v>350</v>
      </c>
      <c r="H6" s="165">
        <v>11500000</v>
      </c>
      <c r="I6" s="167">
        <f>G6*H6</f>
        <v>4025000000</v>
      </c>
    </row>
    <row r="7" spans="6:11">
      <c r="F7" s="420"/>
      <c r="G7" s="164">
        <v>798.2</v>
      </c>
      <c r="H7" s="168">
        <v>98000</v>
      </c>
      <c r="I7" s="169">
        <f>G7*H7</f>
        <v>78223600</v>
      </c>
    </row>
    <row r="8" spans="6:11">
      <c r="F8" s="421" t="s">
        <v>268</v>
      </c>
      <c r="G8" s="421"/>
      <c r="H8" s="421"/>
      <c r="I8" s="167">
        <f>I6+I7</f>
        <v>4103223600</v>
      </c>
    </row>
    <row r="10" spans="6:11">
      <c r="F10" s="164"/>
      <c r="G10" s="164" t="s">
        <v>271</v>
      </c>
      <c r="H10" s="164" t="s">
        <v>267</v>
      </c>
      <c r="I10" s="164" t="s">
        <v>272</v>
      </c>
      <c r="J10" s="160"/>
      <c r="K10" s="160"/>
    </row>
    <row r="11" spans="6:11">
      <c r="F11" s="164" t="s">
        <v>273</v>
      </c>
      <c r="G11" s="164">
        <v>55.5</v>
      </c>
      <c r="H11" s="165">
        <v>45000000</v>
      </c>
      <c r="I11" s="167">
        <f>G11*H11</f>
        <v>2497500000</v>
      </c>
    </row>
    <row r="13" spans="6:11">
      <c r="G13" s="160"/>
      <c r="H13" s="160"/>
      <c r="K13" s="161"/>
    </row>
    <row r="14" spans="6:11">
      <c r="H14" s="118"/>
      <c r="J14" s="161"/>
      <c r="K14" s="161"/>
    </row>
    <row r="15" spans="6:11">
      <c r="G15" s="162"/>
      <c r="H15" s="163"/>
      <c r="J15" s="162"/>
    </row>
    <row r="17" spans="6:11">
      <c r="F17" s="161"/>
      <c r="G17" s="161"/>
      <c r="J17" s="161"/>
    </row>
    <row r="18" spans="6:11">
      <c r="G18" s="161"/>
      <c r="J18" s="162"/>
      <c r="K18" s="161"/>
    </row>
    <row r="19" spans="6:11">
      <c r="G19" s="161"/>
      <c r="K19" s="160"/>
    </row>
    <row r="20" spans="6:11">
      <c r="G20" s="161"/>
      <c r="K20" s="161"/>
    </row>
    <row r="21" spans="6:11">
      <c r="G21" s="161"/>
    </row>
  </sheetData>
  <mergeCells count="2">
    <mergeCell ref="F6:F7"/>
    <mergeCell ref="F8:H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G22" sqref="G22"/>
    </sheetView>
  </sheetViews>
  <sheetFormatPr defaultColWidth="8.796875" defaultRowHeight="15.6"/>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3"/>
  <sheetViews>
    <sheetView workbookViewId="0">
      <selection activeCell="B17" sqref="B17"/>
    </sheetView>
  </sheetViews>
  <sheetFormatPr defaultColWidth="8" defaultRowHeight="13.8"/>
  <cols>
    <col min="1" max="1" width="16.5" style="67" customWidth="1"/>
    <col min="2" max="2" width="51" style="67" bestFit="1" customWidth="1"/>
    <col min="3" max="3" width="5" style="64" customWidth="1"/>
    <col min="4" max="4" width="5" style="65" customWidth="1"/>
    <col min="5" max="5" width="5" style="66" customWidth="1"/>
    <col min="6" max="6" width="5" style="65" customWidth="1"/>
    <col min="7" max="14" width="5" style="67" customWidth="1"/>
    <col min="15" max="21" width="8.796875" style="67" customWidth="1"/>
    <col min="22" max="24" width="8" style="67" bestFit="1" customWidth="1"/>
    <col min="25" max="25" width="10.796875" style="67" customWidth="1"/>
    <col min="26" max="16384" width="8" style="67"/>
  </cols>
  <sheetData>
    <row r="1" spans="1:14" ht="15.6">
      <c r="A1" s="62" t="s">
        <v>224</v>
      </c>
      <c r="B1" s="63">
        <f>'Giá trị đất'!F6</f>
        <v>31935000000</v>
      </c>
    </row>
    <row r="2" spans="1:14" ht="16.2">
      <c r="A2" s="62" t="s">
        <v>225</v>
      </c>
      <c r="B2" s="68" t="str">
        <f>B13</f>
        <v>Ba mươi mốt tỷ chín trăm ba mươi lăm triệu</v>
      </c>
    </row>
    <row r="3" spans="1:14" ht="16.2">
      <c r="A3" s="62" t="s">
        <v>226</v>
      </c>
      <c r="B3" s="69" t="str">
        <f>B13&amp;" đồng./."</f>
        <v>Ba mươi mốt tỷ chín trăm ba mươi lăm triệu đồng./.</v>
      </c>
    </row>
    <row r="7" spans="1:14">
      <c r="A7" s="67" t="s">
        <v>227</v>
      </c>
    </row>
    <row r="8" spans="1:14">
      <c r="A8" s="70">
        <f>B1</f>
        <v>31935000000</v>
      </c>
      <c r="B8" s="71" t="str">
        <f>RIGHT("000000000000"&amp;ROUND(A8,0),12)</f>
        <v>031935000000</v>
      </c>
      <c r="C8" s="72">
        <v>1</v>
      </c>
      <c r="D8" s="72">
        <v>2</v>
      </c>
      <c r="E8" s="72">
        <v>3</v>
      </c>
      <c r="F8" s="73">
        <v>4</v>
      </c>
      <c r="G8" s="73">
        <v>5</v>
      </c>
      <c r="H8" s="73">
        <v>6</v>
      </c>
      <c r="I8" s="74">
        <v>7</v>
      </c>
      <c r="J8" s="74">
        <v>8</v>
      </c>
      <c r="K8" s="74">
        <v>9</v>
      </c>
      <c r="L8" s="75">
        <v>10</v>
      </c>
      <c r="M8" s="75">
        <v>11</v>
      </c>
      <c r="N8" s="75">
        <v>12</v>
      </c>
    </row>
    <row r="9" spans="1:14">
      <c r="A9" s="76"/>
      <c r="B9" s="77"/>
      <c r="C9" s="78">
        <f>VALUE(MID(B8,C8,1))</f>
        <v>0</v>
      </c>
      <c r="D9" s="78">
        <f>VALUE(MID(B8,D8,1))</f>
        <v>3</v>
      </c>
      <c r="E9" s="78">
        <f>VALUE(MID(B8,E8,1))</f>
        <v>1</v>
      </c>
      <c r="F9" s="79">
        <f>VALUE(MID(B8,F8,1))</f>
        <v>9</v>
      </c>
      <c r="G9" s="79">
        <f>VALUE(MID(B8,G8,1))</f>
        <v>3</v>
      </c>
      <c r="H9" s="79">
        <f>VALUE(MID(B8,H8,1))</f>
        <v>5</v>
      </c>
      <c r="I9" s="80">
        <f>VALUE(MID(B8,I8,1))</f>
        <v>0</v>
      </c>
      <c r="J9" s="80">
        <f>VALUE(MID(B8,J8,1))</f>
        <v>0</v>
      </c>
      <c r="K9" s="80">
        <f>VALUE(MID(B8,K8,1))</f>
        <v>0</v>
      </c>
      <c r="L9" s="81">
        <f>VALUE(MID(B8,L8,1))</f>
        <v>0</v>
      </c>
      <c r="M9" s="81">
        <f>VALUE(MID(B8,M8,1))</f>
        <v>0</v>
      </c>
      <c r="N9" s="81">
        <f>VALUE(MID(B8,N8,1))</f>
        <v>0</v>
      </c>
    </row>
    <row r="10" spans="1:14">
      <c r="A10" s="76"/>
      <c r="B10" s="77"/>
      <c r="C10" s="78">
        <f>SUM(C9:C9)</f>
        <v>0</v>
      </c>
      <c r="D10" s="78">
        <f>SUM(C9:D9)</f>
        <v>3</v>
      </c>
      <c r="E10" s="78">
        <f>SUM(C9:E9)</f>
        <v>4</v>
      </c>
      <c r="F10" s="79">
        <f>SUM(F9:F9)</f>
        <v>9</v>
      </c>
      <c r="G10" s="79">
        <f>SUM(F9:G9)</f>
        <v>12</v>
      </c>
      <c r="H10" s="79">
        <f>SUM(F9:H9)</f>
        <v>17</v>
      </c>
      <c r="I10" s="80">
        <f>SUM(I9:I9)</f>
        <v>0</v>
      </c>
      <c r="J10" s="80">
        <f>SUM(I9:J9)</f>
        <v>0</v>
      </c>
      <c r="K10" s="80">
        <f>SUM(I9:K9)</f>
        <v>0</v>
      </c>
      <c r="L10" s="81">
        <f>SUM(L9:L9)</f>
        <v>0</v>
      </c>
      <c r="M10" s="81">
        <f>SUM(L9:M9)</f>
        <v>0</v>
      </c>
      <c r="N10" s="81">
        <f>SUM(L9:N9)</f>
        <v>0</v>
      </c>
    </row>
    <row r="11" spans="1:14">
      <c r="A11" s="82"/>
      <c r="B11" s="77"/>
      <c r="C11" s="83" t="str">
        <f>IF(C9=0,"",CHOOSE(C9,"một","hai","ba","bốn","năm","sáu","bảy","tám","chín"))</f>
        <v/>
      </c>
      <c r="D11" s="83" t="str">
        <f>IF(D9=0,IF(AND(C9&lt;&gt;0,E9&lt;&gt;0),"lẻ",""),CHOOSE(D9,"mười","hai","ba","bốn","năm","sáu","bảy","tám","chín"))</f>
        <v>ba</v>
      </c>
      <c r="E11" s="83" t="str">
        <f>IF(E9=0,"",CHOOSE(E9,IF(D9&gt;1,"mốt","một"),"hai","ba","bốn",IF(D9=0,"năm","lăm"),"sáu","bảy","tám","chín"))</f>
        <v>mốt</v>
      </c>
      <c r="F11" s="84" t="str">
        <f>IF(F9=0,"",CHOOSE(F9,"một","hai","ba","bốn","năm","sáu","bảy","tám","chín"))</f>
        <v>chín</v>
      </c>
      <c r="G11" s="84" t="str">
        <f>IF(G9=0,IF(AND(F9&lt;&gt;0,H9&lt;&gt;0),"linh",""),CHOOSE(G9,"mười","hai","ba","bốn","năm","sáu","bảy","tám","chín"))</f>
        <v>ba</v>
      </c>
      <c r="H11" s="84" t="str">
        <f>IF(H9=0,"",CHOOSE(H9,IF(G9&gt;1,"mốt","một"),"hai","ba","bốn",IF(G9=0,"năm","lăm"),"sáu","bảy","tám","chín"))</f>
        <v>lăm</v>
      </c>
      <c r="I11" s="85" t="str">
        <f>IF(I9=0,"",CHOOSE(I9,"một","hai","ba","bốn","năm","sáu","bảy","tám","chín"))</f>
        <v/>
      </c>
      <c r="J11" s="85" t="str">
        <f>IF(J9=0,IF(AND(I9&lt;&gt;0,K9&lt;&gt;0),"lẻ",""),CHOOSE(J9,"mười","hai","ba","bốn","năm","sáu","bảy","tám","chín"))</f>
        <v/>
      </c>
      <c r="K11" s="85" t="str">
        <f>IF(K9=0,"",CHOOSE(K9,IF(J9&gt;1,"mốt","một"),"hai","ba","bốn",IF(J9=0,"năm","lăm"),"sáu","bảy","tám","chín"))</f>
        <v/>
      </c>
      <c r="L11" s="86" t="str">
        <f>IF(L9=0,"",CHOOSE(L9,"một","hai","ba","bốn","năm","sáu","bảy","tám","chín"))</f>
        <v/>
      </c>
      <c r="M11" s="86" t="str">
        <f>IF(M9=0,IF(AND(L9&lt;&gt;0,N9&lt;&gt;0),"lẻ",""),CHOOSE(M9,"mười","hai","ba","bốn","năm","sáu","bảy","tám","chín"))</f>
        <v/>
      </c>
      <c r="N11" s="86" t="str">
        <f>IF(N9=0,"",CHOOSE(N9,IF(M9&gt;1,"mốt","một"),"hai","ba","bốn",IF(M9=0,"năm","lăm"),"sáu","bảy","tám","chín"))</f>
        <v/>
      </c>
    </row>
    <row r="12" spans="1:14">
      <c r="A12" s="76"/>
      <c r="B12" s="77"/>
      <c r="C12" s="87" t="str">
        <f>IF(C9=0,"","trăm")</f>
        <v/>
      </c>
      <c r="D12" s="87" t="str">
        <f>IF(D9=0,"",IF(D9=1,"","mươi"))</f>
        <v>mươi</v>
      </c>
      <c r="E12" s="87" t="str">
        <f>IF(AND(E9=0,E10=0),"","tỷ")</f>
        <v>tỷ</v>
      </c>
      <c r="F12" s="88" t="str">
        <f>IF(F9=0,"","trăm")</f>
        <v>trăm</v>
      </c>
      <c r="G12" s="88" t="str">
        <f>IF(G9=0,"",IF(G9=1,"","mươi"))</f>
        <v>mươi</v>
      </c>
      <c r="H12" s="88" t="str">
        <f>IF(AND(H9=0,H10=0),"","triệu")</f>
        <v>triệu</v>
      </c>
      <c r="I12" s="89" t="str">
        <f>IF(I9=0,"","trăm")</f>
        <v/>
      </c>
      <c r="J12" s="89" t="str">
        <f>IF(J9=0,"",IF(J9=1,"","mươi"))</f>
        <v/>
      </c>
      <c r="K12" s="89" t="str">
        <f>IF(AND(K9=0,K10=0),"","ngàn")</f>
        <v/>
      </c>
      <c r="L12" s="90" t="str">
        <f>IF(L9=0,"","trăm")</f>
        <v/>
      </c>
      <c r="M12" s="90" t="str">
        <f>IF(M9=0,"",IF(M9=1,"","mươi"))</f>
        <v/>
      </c>
      <c r="N12" s="90"/>
    </row>
    <row r="13" spans="1:14">
      <c r="A13" s="76"/>
      <c r="B13" s="91" t="str">
        <f>UPPER(LEFT(TRIM(IF(A8=0,"không đồng.",C11&amp;" "&amp;C12&amp;" "&amp;D11&amp;" "&amp;D12&amp;" "&amp;E11&amp;" "&amp;E12&amp;" "&amp;F11&amp;" "&amp;F12&amp;" "&amp;G11&amp;" "&amp;G12&amp;" "&amp;H11&amp;" "&amp;H12&amp;" "&amp;I11&amp;" "&amp;I12&amp;" "&amp;J11&amp;" "&amp;J12&amp;" "&amp;K11&amp;" "&amp;K12&amp;" "&amp;L11&amp;" "&amp;L12&amp;" "&amp;M11&amp;" "&amp;M12&amp;" "&amp;N11&amp;" "&amp;N12)),1))&amp;RIGHT(TRIM(IF(A8=0,"không đồng.",C11&amp;" "&amp;C12&amp;" "&amp;D11&amp;" "&amp;D12&amp;" "&amp;E11&amp;" "&amp;E12&amp;" "&amp;F11&amp;" "&amp;F12&amp;" "&amp;G11&amp;" "&amp;G12&amp;" "&amp;H11&amp;" "&amp;H12&amp;" "&amp;I11&amp;" "&amp;I12&amp;" "&amp;J11&amp;" "&amp;J12&amp;" "&amp;K11&amp;" "&amp;K12&amp;" "&amp;L11&amp;" "&amp;L12&amp;" "&amp;M11&amp;" "&amp;M12&amp;" "&amp;N11&amp;" "&amp;N12)),LEN(TRIM(IF(A8=0,"không đồng.",C11&amp;" "&amp;C12&amp;" "&amp;D11&amp;" "&amp;D12&amp;" "&amp;E11&amp;" "&amp;E12&amp;" "&amp;F11&amp;" "&amp;F12&amp;" "&amp;G11&amp;" "&amp;G12&amp;" "&amp;H11&amp;" "&amp;H12&amp;" "&amp;I11&amp;" "&amp;I12&amp;" "&amp;J11&amp;" "&amp;J12&amp;" "&amp;K11&amp;" "&amp;K12&amp;" "&amp;L11&amp;" "&amp;L12&amp;" "&amp;M11&amp;" "&amp;M12&amp;" "&amp;N11&amp;" "&amp;N12)))-1)</f>
        <v>Ba mươi mốt tỷ chín trăm ba mươi lăm triệu</v>
      </c>
      <c r="C13" s="92"/>
      <c r="D13" s="92"/>
      <c r="E13" s="92"/>
      <c r="F13" s="92"/>
      <c r="G13" s="92"/>
      <c r="H13" s="92"/>
      <c r="I13" s="92"/>
      <c r="J13" s="92"/>
      <c r="K13" s="92"/>
      <c r="L13" s="92"/>
      <c r="M13" s="92"/>
      <c r="N13" s="9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topLeftCell="B7" zoomScale="90" zoomScaleNormal="90" workbookViewId="0">
      <selection activeCell="O16" sqref="O16"/>
    </sheetView>
  </sheetViews>
  <sheetFormatPr defaultColWidth="8.796875" defaultRowHeight="15.6"/>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G33"/>
  <sheetViews>
    <sheetView topLeftCell="A13" workbookViewId="0">
      <selection activeCell="C17" sqref="C17:C18"/>
    </sheetView>
  </sheetViews>
  <sheetFormatPr defaultColWidth="8.796875" defaultRowHeight="13.8"/>
  <cols>
    <col min="1" max="1" width="5.5" style="7" customWidth="1"/>
    <col min="2" max="2" width="14" style="7" customWidth="1"/>
    <col min="3" max="3" width="14.796875" style="7" customWidth="1"/>
    <col min="4" max="4" width="12.796875" style="7" customWidth="1"/>
    <col min="5" max="5" width="17" style="7" customWidth="1"/>
    <col min="6" max="6" width="17" style="7" bestFit="1" customWidth="1"/>
    <col min="7" max="237" width="8.5" style="7"/>
    <col min="238" max="238" width="3.296875" style="7" customWidth="1"/>
    <col min="239" max="239" width="11.796875" style="7" customWidth="1"/>
    <col min="240" max="240" width="10.796875" style="7" customWidth="1"/>
    <col min="241" max="241" width="12.296875" style="7" customWidth="1"/>
    <col min="242" max="242" width="16" style="7" customWidth="1"/>
    <col min="243" max="493" width="8.5" style="7"/>
    <col min="494" max="494" width="3.296875" style="7" customWidth="1"/>
    <col min="495" max="495" width="11.796875" style="7" customWidth="1"/>
    <col min="496" max="496" width="10.796875" style="7" customWidth="1"/>
    <col min="497" max="497" width="12.296875" style="7" customWidth="1"/>
    <col min="498" max="498" width="16" style="7" customWidth="1"/>
    <col min="499" max="749" width="8.5" style="7"/>
    <col min="750" max="750" width="3.296875" style="7" customWidth="1"/>
    <col min="751" max="751" width="11.796875" style="7" customWidth="1"/>
    <col min="752" max="752" width="10.796875" style="7" customWidth="1"/>
    <col min="753" max="753" width="12.296875" style="7" customWidth="1"/>
    <col min="754" max="754" width="16" style="7" customWidth="1"/>
    <col min="755" max="1005" width="8.5" style="7"/>
    <col min="1006" max="1006" width="3.296875" style="7" customWidth="1"/>
    <col min="1007" max="1007" width="11.796875" style="7" customWidth="1"/>
    <col min="1008" max="1008" width="10.796875" style="7" customWidth="1"/>
    <col min="1009" max="1009" width="12.296875" style="7" customWidth="1"/>
    <col min="1010" max="1010" width="16" style="7" customWidth="1"/>
    <col min="1011" max="1261" width="8.5" style="7"/>
    <col min="1262" max="1262" width="3.296875" style="7" customWidth="1"/>
    <col min="1263" max="1263" width="11.796875" style="7" customWidth="1"/>
    <col min="1264" max="1264" width="10.796875" style="7" customWidth="1"/>
    <col min="1265" max="1265" width="12.296875" style="7" customWidth="1"/>
    <col min="1266" max="1266" width="16" style="7" customWidth="1"/>
    <col min="1267" max="1517" width="8.5" style="7"/>
    <col min="1518" max="1518" width="3.296875" style="7" customWidth="1"/>
    <col min="1519" max="1519" width="11.796875" style="7" customWidth="1"/>
    <col min="1520" max="1520" width="10.796875" style="7" customWidth="1"/>
    <col min="1521" max="1521" width="12.296875" style="7" customWidth="1"/>
    <col min="1522" max="1522" width="16" style="7" customWidth="1"/>
    <col min="1523" max="1773" width="8.5" style="7"/>
    <col min="1774" max="1774" width="3.296875" style="7" customWidth="1"/>
    <col min="1775" max="1775" width="11.796875" style="7" customWidth="1"/>
    <col min="1776" max="1776" width="10.796875" style="7" customWidth="1"/>
    <col min="1777" max="1777" width="12.296875" style="7" customWidth="1"/>
    <col min="1778" max="1778" width="16" style="7" customWidth="1"/>
    <col min="1779" max="2029" width="8.5" style="7"/>
    <col min="2030" max="2030" width="3.296875" style="7" customWidth="1"/>
    <col min="2031" max="2031" width="11.796875" style="7" customWidth="1"/>
    <col min="2032" max="2032" width="10.796875" style="7" customWidth="1"/>
    <col min="2033" max="2033" width="12.296875" style="7" customWidth="1"/>
    <col min="2034" max="2034" width="16" style="7" customWidth="1"/>
    <col min="2035" max="2285" width="8.5" style="7"/>
    <col min="2286" max="2286" width="3.296875" style="7" customWidth="1"/>
    <col min="2287" max="2287" width="11.796875" style="7" customWidth="1"/>
    <col min="2288" max="2288" width="10.796875" style="7" customWidth="1"/>
    <col min="2289" max="2289" width="12.296875" style="7" customWidth="1"/>
    <col min="2290" max="2290" width="16" style="7" customWidth="1"/>
    <col min="2291" max="2541" width="8.5" style="7"/>
    <col min="2542" max="2542" width="3.296875" style="7" customWidth="1"/>
    <col min="2543" max="2543" width="11.796875" style="7" customWidth="1"/>
    <col min="2544" max="2544" width="10.796875" style="7" customWidth="1"/>
    <col min="2545" max="2545" width="12.296875" style="7" customWidth="1"/>
    <col min="2546" max="2546" width="16" style="7" customWidth="1"/>
    <col min="2547" max="2797" width="8.5" style="7"/>
    <col min="2798" max="2798" width="3.296875" style="7" customWidth="1"/>
    <col min="2799" max="2799" width="11.796875" style="7" customWidth="1"/>
    <col min="2800" max="2800" width="10.796875" style="7" customWidth="1"/>
    <col min="2801" max="2801" width="12.296875" style="7" customWidth="1"/>
    <col min="2802" max="2802" width="16" style="7" customWidth="1"/>
    <col min="2803" max="3053" width="8.5" style="7"/>
    <col min="3054" max="3054" width="3.296875" style="7" customWidth="1"/>
    <col min="3055" max="3055" width="11.796875" style="7" customWidth="1"/>
    <col min="3056" max="3056" width="10.796875" style="7" customWidth="1"/>
    <col min="3057" max="3057" width="12.296875" style="7" customWidth="1"/>
    <col min="3058" max="3058" width="16" style="7" customWidth="1"/>
    <col min="3059" max="3309" width="8.5" style="7"/>
    <col min="3310" max="3310" width="3.296875" style="7" customWidth="1"/>
    <col min="3311" max="3311" width="11.796875" style="7" customWidth="1"/>
    <col min="3312" max="3312" width="10.796875" style="7" customWidth="1"/>
    <col min="3313" max="3313" width="12.296875" style="7" customWidth="1"/>
    <col min="3314" max="3314" width="16" style="7" customWidth="1"/>
    <col min="3315" max="3565" width="8.5" style="7"/>
    <col min="3566" max="3566" width="3.296875" style="7" customWidth="1"/>
    <col min="3567" max="3567" width="11.796875" style="7" customWidth="1"/>
    <col min="3568" max="3568" width="10.796875" style="7" customWidth="1"/>
    <col min="3569" max="3569" width="12.296875" style="7" customWidth="1"/>
    <col min="3570" max="3570" width="16" style="7" customWidth="1"/>
    <col min="3571" max="3821" width="8.5" style="7"/>
    <col min="3822" max="3822" width="3.296875" style="7" customWidth="1"/>
    <col min="3823" max="3823" width="11.796875" style="7" customWidth="1"/>
    <col min="3824" max="3824" width="10.796875" style="7" customWidth="1"/>
    <col min="3825" max="3825" width="12.296875" style="7" customWidth="1"/>
    <col min="3826" max="3826" width="16" style="7" customWidth="1"/>
    <col min="3827" max="4077" width="8.5" style="7"/>
    <col min="4078" max="4078" width="3.296875" style="7" customWidth="1"/>
    <col min="4079" max="4079" width="11.796875" style="7" customWidth="1"/>
    <col min="4080" max="4080" width="10.796875" style="7" customWidth="1"/>
    <col min="4081" max="4081" width="12.296875" style="7" customWidth="1"/>
    <col min="4082" max="4082" width="16" style="7" customWidth="1"/>
    <col min="4083" max="4333" width="8.5" style="7"/>
    <col min="4334" max="4334" width="3.296875" style="7" customWidth="1"/>
    <col min="4335" max="4335" width="11.796875" style="7" customWidth="1"/>
    <col min="4336" max="4336" width="10.796875" style="7" customWidth="1"/>
    <col min="4337" max="4337" width="12.296875" style="7" customWidth="1"/>
    <col min="4338" max="4338" width="16" style="7" customWidth="1"/>
    <col min="4339" max="4589" width="8.5" style="7"/>
    <col min="4590" max="4590" width="3.296875" style="7" customWidth="1"/>
    <col min="4591" max="4591" width="11.796875" style="7" customWidth="1"/>
    <col min="4592" max="4592" width="10.796875" style="7" customWidth="1"/>
    <col min="4593" max="4593" width="12.296875" style="7" customWidth="1"/>
    <col min="4594" max="4594" width="16" style="7" customWidth="1"/>
    <col min="4595" max="4845" width="8.5" style="7"/>
    <col min="4846" max="4846" width="3.296875" style="7" customWidth="1"/>
    <col min="4847" max="4847" width="11.796875" style="7" customWidth="1"/>
    <col min="4848" max="4848" width="10.796875" style="7" customWidth="1"/>
    <col min="4849" max="4849" width="12.296875" style="7" customWidth="1"/>
    <col min="4850" max="4850" width="16" style="7" customWidth="1"/>
    <col min="4851" max="5101" width="8.5" style="7"/>
    <col min="5102" max="5102" width="3.296875" style="7" customWidth="1"/>
    <col min="5103" max="5103" width="11.796875" style="7" customWidth="1"/>
    <col min="5104" max="5104" width="10.796875" style="7" customWidth="1"/>
    <col min="5105" max="5105" width="12.296875" style="7" customWidth="1"/>
    <col min="5106" max="5106" width="16" style="7" customWidth="1"/>
    <col min="5107" max="5357" width="8.5" style="7"/>
    <col min="5358" max="5358" width="3.296875" style="7" customWidth="1"/>
    <col min="5359" max="5359" width="11.796875" style="7" customWidth="1"/>
    <col min="5360" max="5360" width="10.796875" style="7" customWidth="1"/>
    <col min="5361" max="5361" width="12.296875" style="7" customWidth="1"/>
    <col min="5362" max="5362" width="16" style="7" customWidth="1"/>
    <col min="5363" max="5613" width="8.5" style="7"/>
    <col min="5614" max="5614" width="3.296875" style="7" customWidth="1"/>
    <col min="5615" max="5615" width="11.796875" style="7" customWidth="1"/>
    <col min="5616" max="5616" width="10.796875" style="7" customWidth="1"/>
    <col min="5617" max="5617" width="12.296875" style="7" customWidth="1"/>
    <col min="5618" max="5618" width="16" style="7" customWidth="1"/>
    <col min="5619" max="5869" width="8.5" style="7"/>
    <col min="5870" max="5870" width="3.296875" style="7" customWidth="1"/>
    <col min="5871" max="5871" width="11.796875" style="7" customWidth="1"/>
    <col min="5872" max="5872" width="10.796875" style="7" customWidth="1"/>
    <col min="5873" max="5873" width="12.296875" style="7" customWidth="1"/>
    <col min="5874" max="5874" width="16" style="7" customWidth="1"/>
    <col min="5875" max="6125" width="8.5" style="7"/>
    <col min="6126" max="6126" width="3.296875" style="7" customWidth="1"/>
    <col min="6127" max="6127" width="11.796875" style="7" customWidth="1"/>
    <col min="6128" max="6128" width="10.796875" style="7" customWidth="1"/>
    <col min="6129" max="6129" width="12.296875" style="7" customWidth="1"/>
    <col min="6130" max="6130" width="16" style="7" customWidth="1"/>
    <col min="6131" max="6381" width="8.5" style="7"/>
    <col min="6382" max="6382" width="3.296875" style="7" customWidth="1"/>
    <col min="6383" max="6383" width="11.796875" style="7" customWidth="1"/>
    <col min="6384" max="6384" width="10.796875" style="7" customWidth="1"/>
    <col min="6385" max="6385" width="12.296875" style="7" customWidth="1"/>
    <col min="6386" max="6386" width="16" style="7" customWidth="1"/>
    <col min="6387" max="6637" width="8.5" style="7"/>
    <col min="6638" max="6638" width="3.296875" style="7" customWidth="1"/>
    <col min="6639" max="6639" width="11.796875" style="7" customWidth="1"/>
    <col min="6640" max="6640" width="10.796875" style="7" customWidth="1"/>
    <col min="6641" max="6641" width="12.296875" style="7" customWidth="1"/>
    <col min="6642" max="6642" width="16" style="7" customWidth="1"/>
    <col min="6643" max="6893" width="8.5" style="7"/>
    <col min="6894" max="6894" width="3.296875" style="7" customWidth="1"/>
    <col min="6895" max="6895" width="11.796875" style="7" customWidth="1"/>
    <col min="6896" max="6896" width="10.796875" style="7" customWidth="1"/>
    <col min="6897" max="6897" width="12.296875" style="7" customWidth="1"/>
    <col min="6898" max="6898" width="16" style="7" customWidth="1"/>
    <col min="6899" max="7149" width="8.5" style="7"/>
    <col min="7150" max="7150" width="3.296875" style="7" customWidth="1"/>
    <col min="7151" max="7151" width="11.796875" style="7" customWidth="1"/>
    <col min="7152" max="7152" width="10.796875" style="7" customWidth="1"/>
    <col min="7153" max="7153" width="12.296875" style="7" customWidth="1"/>
    <col min="7154" max="7154" width="16" style="7" customWidth="1"/>
    <col min="7155" max="7405" width="8.5" style="7"/>
    <col min="7406" max="7406" width="3.296875" style="7" customWidth="1"/>
    <col min="7407" max="7407" width="11.796875" style="7" customWidth="1"/>
    <col min="7408" max="7408" width="10.796875" style="7" customWidth="1"/>
    <col min="7409" max="7409" width="12.296875" style="7" customWidth="1"/>
    <col min="7410" max="7410" width="16" style="7" customWidth="1"/>
    <col min="7411" max="7661" width="8.5" style="7"/>
    <col min="7662" max="7662" width="3.296875" style="7" customWidth="1"/>
    <col min="7663" max="7663" width="11.796875" style="7" customWidth="1"/>
    <col min="7664" max="7664" width="10.796875" style="7" customWidth="1"/>
    <col min="7665" max="7665" width="12.296875" style="7" customWidth="1"/>
    <col min="7666" max="7666" width="16" style="7" customWidth="1"/>
    <col min="7667" max="7917" width="8.5" style="7"/>
    <col min="7918" max="7918" width="3.296875" style="7" customWidth="1"/>
    <col min="7919" max="7919" width="11.796875" style="7" customWidth="1"/>
    <col min="7920" max="7920" width="10.796875" style="7" customWidth="1"/>
    <col min="7921" max="7921" width="12.296875" style="7" customWidth="1"/>
    <col min="7922" max="7922" width="16" style="7" customWidth="1"/>
    <col min="7923" max="8173" width="8.5" style="7"/>
    <col min="8174" max="8174" width="3.296875" style="7" customWidth="1"/>
    <col min="8175" max="8175" width="11.796875" style="7" customWidth="1"/>
    <col min="8176" max="8176" width="10.796875" style="7" customWidth="1"/>
    <col min="8177" max="8177" width="12.296875" style="7" customWidth="1"/>
    <col min="8178" max="8178" width="16" style="7" customWidth="1"/>
    <col min="8179" max="8429" width="8.5" style="7"/>
    <col min="8430" max="8430" width="3.296875" style="7" customWidth="1"/>
    <col min="8431" max="8431" width="11.796875" style="7" customWidth="1"/>
    <col min="8432" max="8432" width="10.796875" style="7" customWidth="1"/>
    <col min="8433" max="8433" width="12.296875" style="7" customWidth="1"/>
    <col min="8434" max="8434" width="16" style="7" customWidth="1"/>
    <col min="8435" max="8685" width="8.5" style="7"/>
    <col min="8686" max="8686" width="3.296875" style="7" customWidth="1"/>
    <col min="8687" max="8687" width="11.796875" style="7" customWidth="1"/>
    <col min="8688" max="8688" width="10.796875" style="7" customWidth="1"/>
    <col min="8689" max="8689" width="12.296875" style="7" customWidth="1"/>
    <col min="8690" max="8690" width="16" style="7" customWidth="1"/>
    <col min="8691" max="8941" width="8.5" style="7"/>
    <col min="8942" max="8942" width="3.296875" style="7" customWidth="1"/>
    <col min="8943" max="8943" width="11.796875" style="7" customWidth="1"/>
    <col min="8944" max="8944" width="10.796875" style="7" customWidth="1"/>
    <col min="8945" max="8945" width="12.296875" style="7" customWidth="1"/>
    <col min="8946" max="8946" width="16" style="7" customWidth="1"/>
    <col min="8947" max="9197" width="8.5" style="7"/>
    <col min="9198" max="9198" width="3.296875" style="7" customWidth="1"/>
    <col min="9199" max="9199" width="11.796875" style="7" customWidth="1"/>
    <col min="9200" max="9200" width="10.796875" style="7" customWidth="1"/>
    <col min="9201" max="9201" width="12.296875" style="7" customWidth="1"/>
    <col min="9202" max="9202" width="16" style="7" customWidth="1"/>
    <col min="9203" max="9453" width="8.5" style="7"/>
    <col min="9454" max="9454" width="3.296875" style="7" customWidth="1"/>
    <col min="9455" max="9455" width="11.796875" style="7" customWidth="1"/>
    <col min="9456" max="9456" width="10.796875" style="7" customWidth="1"/>
    <col min="9457" max="9457" width="12.296875" style="7" customWidth="1"/>
    <col min="9458" max="9458" width="16" style="7" customWidth="1"/>
    <col min="9459" max="9709" width="8.5" style="7"/>
    <col min="9710" max="9710" width="3.296875" style="7" customWidth="1"/>
    <col min="9711" max="9711" width="11.796875" style="7" customWidth="1"/>
    <col min="9712" max="9712" width="10.796875" style="7" customWidth="1"/>
    <col min="9713" max="9713" width="12.296875" style="7" customWidth="1"/>
    <col min="9714" max="9714" width="16" style="7" customWidth="1"/>
    <col min="9715" max="9965" width="8.5" style="7"/>
    <col min="9966" max="9966" width="3.296875" style="7" customWidth="1"/>
    <col min="9967" max="9967" width="11.796875" style="7" customWidth="1"/>
    <col min="9968" max="9968" width="10.796875" style="7" customWidth="1"/>
    <col min="9969" max="9969" width="12.296875" style="7" customWidth="1"/>
    <col min="9970" max="9970" width="16" style="7" customWidth="1"/>
    <col min="9971" max="10221" width="8.5" style="7"/>
    <col min="10222" max="10222" width="3.296875" style="7" customWidth="1"/>
    <col min="10223" max="10223" width="11.796875" style="7" customWidth="1"/>
    <col min="10224" max="10224" width="10.796875" style="7" customWidth="1"/>
    <col min="10225" max="10225" width="12.296875" style="7" customWidth="1"/>
    <col min="10226" max="10226" width="16" style="7" customWidth="1"/>
    <col min="10227" max="10477" width="8.5" style="7"/>
    <col min="10478" max="10478" width="3.296875" style="7" customWidth="1"/>
    <col min="10479" max="10479" width="11.796875" style="7" customWidth="1"/>
    <col min="10480" max="10480" width="10.796875" style="7" customWidth="1"/>
    <col min="10481" max="10481" width="12.296875" style="7" customWidth="1"/>
    <col min="10482" max="10482" width="16" style="7" customWidth="1"/>
    <col min="10483" max="10733" width="8.5" style="7"/>
    <col min="10734" max="10734" width="3.296875" style="7" customWidth="1"/>
    <col min="10735" max="10735" width="11.796875" style="7" customWidth="1"/>
    <col min="10736" max="10736" width="10.796875" style="7" customWidth="1"/>
    <col min="10737" max="10737" width="12.296875" style="7" customWidth="1"/>
    <col min="10738" max="10738" width="16" style="7" customWidth="1"/>
    <col min="10739" max="10989" width="8.5" style="7"/>
    <col min="10990" max="10990" width="3.296875" style="7" customWidth="1"/>
    <col min="10991" max="10991" width="11.796875" style="7" customWidth="1"/>
    <col min="10992" max="10992" width="10.796875" style="7" customWidth="1"/>
    <col min="10993" max="10993" width="12.296875" style="7" customWidth="1"/>
    <col min="10994" max="10994" width="16" style="7" customWidth="1"/>
    <col min="10995" max="11245" width="8.5" style="7"/>
    <col min="11246" max="11246" width="3.296875" style="7" customWidth="1"/>
    <col min="11247" max="11247" width="11.796875" style="7" customWidth="1"/>
    <col min="11248" max="11248" width="10.796875" style="7" customWidth="1"/>
    <col min="11249" max="11249" width="12.296875" style="7" customWidth="1"/>
    <col min="11250" max="11250" width="16" style="7" customWidth="1"/>
    <col min="11251" max="11501" width="8.5" style="7"/>
    <col min="11502" max="11502" width="3.296875" style="7" customWidth="1"/>
    <col min="11503" max="11503" width="11.796875" style="7" customWidth="1"/>
    <col min="11504" max="11504" width="10.796875" style="7" customWidth="1"/>
    <col min="11505" max="11505" width="12.296875" style="7" customWidth="1"/>
    <col min="11506" max="11506" width="16" style="7" customWidth="1"/>
    <col min="11507" max="11757" width="8.5" style="7"/>
    <col min="11758" max="11758" width="3.296875" style="7" customWidth="1"/>
    <col min="11759" max="11759" width="11.796875" style="7" customWidth="1"/>
    <col min="11760" max="11760" width="10.796875" style="7" customWidth="1"/>
    <col min="11761" max="11761" width="12.296875" style="7" customWidth="1"/>
    <col min="11762" max="11762" width="16" style="7" customWidth="1"/>
    <col min="11763" max="12013" width="8.5" style="7"/>
    <col min="12014" max="12014" width="3.296875" style="7" customWidth="1"/>
    <col min="12015" max="12015" width="11.796875" style="7" customWidth="1"/>
    <col min="12016" max="12016" width="10.796875" style="7" customWidth="1"/>
    <col min="12017" max="12017" width="12.296875" style="7" customWidth="1"/>
    <col min="12018" max="12018" width="16" style="7" customWidth="1"/>
    <col min="12019" max="12269" width="8.5" style="7"/>
    <col min="12270" max="12270" width="3.296875" style="7" customWidth="1"/>
    <col min="12271" max="12271" width="11.796875" style="7" customWidth="1"/>
    <col min="12272" max="12272" width="10.796875" style="7" customWidth="1"/>
    <col min="12273" max="12273" width="12.296875" style="7" customWidth="1"/>
    <col min="12274" max="12274" width="16" style="7" customWidth="1"/>
    <col min="12275" max="12525" width="8.5" style="7"/>
    <col min="12526" max="12526" width="3.296875" style="7" customWidth="1"/>
    <col min="12527" max="12527" width="11.796875" style="7" customWidth="1"/>
    <col min="12528" max="12528" width="10.796875" style="7" customWidth="1"/>
    <col min="12529" max="12529" width="12.296875" style="7" customWidth="1"/>
    <col min="12530" max="12530" width="16" style="7" customWidth="1"/>
    <col min="12531" max="12781" width="8.5" style="7"/>
    <col min="12782" max="12782" width="3.296875" style="7" customWidth="1"/>
    <col min="12783" max="12783" width="11.796875" style="7" customWidth="1"/>
    <col min="12784" max="12784" width="10.796875" style="7" customWidth="1"/>
    <col min="12785" max="12785" width="12.296875" style="7" customWidth="1"/>
    <col min="12786" max="12786" width="16" style="7" customWidth="1"/>
    <col min="12787" max="13037" width="8.5" style="7"/>
    <col min="13038" max="13038" width="3.296875" style="7" customWidth="1"/>
    <col min="13039" max="13039" width="11.796875" style="7" customWidth="1"/>
    <col min="13040" max="13040" width="10.796875" style="7" customWidth="1"/>
    <col min="13041" max="13041" width="12.296875" style="7" customWidth="1"/>
    <col min="13042" max="13042" width="16" style="7" customWidth="1"/>
    <col min="13043" max="13293" width="8.5" style="7"/>
    <col min="13294" max="13294" width="3.296875" style="7" customWidth="1"/>
    <col min="13295" max="13295" width="11.796875" style="7" customWidth="1"/>
    <col min="13296" max="13296" width="10.796875" style="7" customWidth="1"/>
    <col min="13297" max="13297" width="12.296875" style="7" customWidth="1"/>
    <col min="13298" max="13298" width="16" style="7" customWidth="1"/>
    <col min="13299" max="13549" width="8.5" style="7"/>
    <col min="13550" max="13550" width="3.296875" style="7" customWidth="1"/>
    <col min="13551" max="13551" width="11.796875" style="7" customWidth="1"/>
    <col min="13552" max="13552" width="10.796875" style="7" customWidth="1"/>
    <col min="13553" max="13553" width="12.296875" style="7" customWidth="1"/>
    <col min="13554" max="13554" width="16" style="7" customWidth="1"/>
    <col min="13555" max="13805" width="8.5" style="7"/>
    <col min="13806" max="13806" width="3.296875" style="7" customWidth="1"/>
    <col min="13807" max="13807" width="11.796875" style="7" customWidth="1"/>
    <col min="13808" max="13808" width="10.796875" style="7" customWidth="1"/>
    <col min="13809" max="13809" width="12.296875" style="7" customWidth="1"/>
    <col min="13810" max="13810" width="16" style="7" customWidth="1"/>
    <col min="13811" max="14061" width="8.5" style="7"/>
    <col min="14062" max="14062" width="3.296875" style="7" customWidth="1"/>
    <col min="14063" max="14063" width="11.796875" style="7" customWidth="1"/>
    <col min="14064" max="14064" width="10.796875" style="7" customWidth="1"/>
    <col min="14065" max="14065" width="12.296875" style="7" customWidth="1"/>
    <col min="14066" max="14066" width="16" style="7" customWidth="1"/>
    <col min="14067" max="14317" width="8.5" style="7"/>
    <col min="14318" max="14318" width="3.296875" style="7" customWidth="1"/>
    <col min="14319" max="14319" width="11.796875" style="7" customWidth="1"/>
    <col min="14320" max="14320" width="10.796875" style="7" customWidth="1"/>
    <col min="14321" max="14321" width="12.296875" style="7" customWidth="1"/>
    <col min="14322" max="14322" width="16" style="7" customWidth="1"/>
    <col min="14323" max="14573" width="8.5" style="7"/>
    <col min="14574" max="14574" width="3.296875" style="7" customWidth="1"/>
    <col min="14575" max="14575" width="11.796875" style="7" customWidth="1"/>
    <col min="14576" max="14576" width="10.796875" style="7" customWidth="1"/>
    <col min="14577" max="14577" width="12.296875" style="7" customWidth="1"/>
    <col min="14578" max="14578" width="16" style="7" customWidth="1"/>
    <col min="14579" max="14829" width="8.5" style="7"/>
    <col min="14830" max="14830" width="3.296875" style="7" customWidth="1"/>
    <col min="14831" max="14831" width="11.796875" style="7" customWidth="1"/>
    <col min="14832" max="14832" width="10.796875" style="7" customWidth="1"/>
    <col min="14833" max="14833" width="12.296875" style="7" customWidth="1"/>
    <col min="14834" max="14834" width="16" style="7" customWidth="1"/>
    <col min="14835" max="15085" width="8.5" style="7"/>
    <col min="15086" max="15086" width="3.296875" style="7" customWidth="1"/>
    <col min="15087" max="15087" width="11.796875" style="7" customWidth="1"/>
    <col min="15088" max="15088" width="10.796875" style="7" customWidth="1"/>
    <col min="15089" max="15089" width="12.296875" style="7" customWidth="1"/>
    <col min="15090" max="15090" width="16" style="7" customWidth="1"/>
    <col min="15091" max="15341" width="8.5" style="7"/>
    <col min="15342" max="15342" width="3.296875" style="7" customWidth="1"/>
    <col min="15343" max="15343" width="11.796875" style="7" customWidth="1"/>
    <col min="15344" max="15344" width="10.796875" style="7" customWidth="1"/>
    <col min="15345" max="15345" width="12.296875" style="7" customWidth="1"/>
    <col min="15346" max="15346" width="16" style="7" customWidth="1"/>
    <col min="15347" max="15597" width="8.5" style="7"/>
    <col min="15598" max="15598" width="3.296875" style="7" customWidth="1"/>
    <col min="15599" max="15599" width="11.796875" style="7" customWidth="1"/>
    <col min="15600" max="15600" width="10.796875" style="7" customWidth="1"/>
    <col min="15601" max="15601" width="12.296875" style="7" customWidth="1"/>
    <col min="15602" max="15602" width="16" style="7" customWidth="1"/>
    <col min="15603" max="15853" width="8.5" style="7"/>
    <col min="15854" max="15854" width="3.296875" style="7" customWidth="1"/>
    <col min="15855" max="15855" width="11.796875" style="7" customWidth="1"/>
    <col min="15856" max="15856" width="10.796875" style="7" customWidth="1"/>
    <col min="15857" max="15857" width="12.296875" style="7" customWidth="1"/>
    <col min="15858" max="15858" width="16" style="7" customWidth="1"/>
    <col min="15859" max="16109" width="8.5" style="7"/>
    <col min="16110" max="16110" width="3.296875" style="7" customWidth="1"/>
    <col min="16111" max="16111" width="11.796875" style="7" customWidth="1"/>
    <col min="16112" max="16112" width="10.796875" style="7" customWidth="1"/>
    <col min="16113" max="16113" width="12.296875" style="7" customWidth="1"/>
    <col min="16114" max="16114" width="16" style="7" customWidth="1"/>
    <col min="16115" max="16365" width="8.5" style="7"/>
    <col min="16366" max="16384" width="7.796875" style="7" customWidth="1"/>
  </cols>
  <sheetData>
    <row r="2" spans="1:6">
      <c r="A2" s="7">
        <v>1</v>
      </c>
      <c r="B2" s="7" t="s">
        <v>120</v>
      </c>
    </row>
    <row r="3" spans="1:6" ht="50.4">
      <c r="B3" s="24" t="s">
        <v>121</v>
      </c>
      <c r="C3" s="24" t="s">
        <v>122</v>
      </c>
      <c r="D3" s="24" t="s">
        <v>123</v>
      </c>
      <c r="E3" s="24" t="s">
        <v>124</v>
      </c>
      <c r="F3" s="24" t="s">
        <v>125</v>
      </c>
    </row>
    <row r="4" spans="1:6" ht="16.8">
      <c r="B4" s="25" t="s">
        <v>126</v>
      </c>
      <c r="C4" s="25" t="s">
        <v>127</v>
      </c>
      <c r="D4" s="25" t="s">
        <v>128</v>
      </c>
      <c r="E4" s="25" t="s">
        <v>129</v>
      </c>
      <c r="F4" s="25" t="s">
        <v>130</v>
      </c>
    </row>
    <row r="5" spans="1:6" ht="16.8">
      <c r="B5" s="26">
        <v>1</v>
      </c>
      <c r="C5" s="27" t="s">
        <v>48</v>
      </c>
      <c r="D5" s="28">
        <v>0.09</v>
      </c>
      <c r="E5" s="29">
        <v>0.65</v>
      </c>
      <c r="F5" s="29">
        <f>D5*E5/$D$11</f>
        <v>0.10833333333333332</v>
      </c>
    </row>
    <row r="6" spans="1:6" ht="18" customHeight="1">
      <c r="B6" s="26">
        <v>2</v>
      </c>
      <c r="C6" s="27" t="s">
        <v>131</v>
      </c>
      <c r="D6" s="28">
        <v>0</v>
      </c>
      <c r="E6" s="29">
        <v>0.65</v>
      </c>
      <c r="F6" s="29">
        <f t="shared" ref="F6:F10" si="0">D6*E6/$D$11</f>
        <v>0</v>
      </c>
    </row>
    <row r="7" spans="1:6" ht="16.8">
      <c r="B7" s="26">
        <v>3</v>
      </c>
      <c r="C7" s="27" t="s">
        <v>49</v>
      </c>
      <c r="D7" s="28">
        <v>0.18</v>
      </c>
      <c r="E7" s="29">
        <v>0.65</v>
      </c>
      <c r="F7" s="29">
        <f t="shared" si="0"/>
        <v>0.21666666666666665</v>
      </c>
    </row>
    <row r="8" spans="1:6" ht="16.8">
      <c r="B8" s="26">
        <v>4</v>
      </c>
      <c r="C8" s="27" t="s">
        <v>50</v>
      </c>
      <c r="D8" s="28">
        <v>0.14000000000000001</v>
      </c>
      <c r="E8" s="29">
        <v>0.65</v>
      </c>
      <c r="F8" s="29">
        <f t="shared" si="0"/>
        <v>0.16851851851851854</v>
      </c>
    </row>
    <row r="9" spans="1:6" ht="16.8">
      <c r="B9" s="26">
        <v>5</v>
      </c>
      <c r="C9" s="27" t="s">
        <v>51</v>
      </c>
      <c r="D9" s="28">
        <v>0</v>
      </c>
      <c r="E9" s="29">
        <v>0.65</v>
      </c>
      <c r="F9" s="29">
        <f t="shared" si="0"/>
        <v>0</v>
      </c>
    </row>
    <row r="10" spans="1:6" ht="16.8">
      <c r="B10" s="26">
        <v>6</v>
      </c>
      <c r="C10" s="27" t="s">
        <v>52</v>
      </c>
      <c r="D10" s="28">
        <v>0.13</v>
      </c>
      <c r="E10" s="29">
        <v>0.65</v>
      </c>
      <c r="F10" s="29">
        <f t="shared" si="0"/>
        <v>0.15648148148148147</v>
      </c>
    </row>
    <row r="11" spans="1:6" ht="16.8">
      <c r="B11" s="24"/>
      <c r="C11" s="24" t="s">
        <v>132</v>
      </c>
      <c r="D11" s="29">
        <f>SUM(D5:D10)</f>
        <v>0.54</v>
      </c>
      <c r="E11" s="30"/>
      <c r="F11" s="30"/>
    </row>
    <row r="12" spans="1:6" ht="16.8">
      <c r="B12" s="422" t="s">
        <v>133</v>
      </c>
      <c r="C12" s="423"/>
      <c r="D12" s="424"/>
      <c r="E12" s="30"/>
      <c r="F12" s="31">
        <f>SUM(F5:F10)</f>
        <v>0.64999999999999991</v>
      </c>
    </row>
    <row r="13" spans="1:6" ht="16.8">
      <c r="B13" s="32"/>
      <c r="C13" s="33"/>
      <c r="D13" s="33"/>
      <c r="E13" s="33"/>
      <c r="F13" s="34"/>
    </row>
    <row r="15" spans="1:6">
      <c r="A15" s="425" t="s">
        <v>7</v>
      </c>
      <c r="B15" s="425" t="s">
        <v>42</v>
      </c>
      <c r="C15" s="425" t="s">
        <v>145</v>
      </c>
      <c r="D15" s="425" t="s">
        <v>43</v>
      </c>
      <c r="E15" s="425" t="s">
        <v>146</v>
      </c>
      <c r="F15" s="425" t="s">
        <v>147</v>
      </c>
    </row>
    <row r="16" spans="1:6" ht="18" customHeight="1">
      <c r="A16" s="426"/>
      <c r="B16" s="426"/>
      <c r="C16" s="426"/>
      <c r="D16" s="426"/>
      <c r="E16" s="426"/>
      <c r="F16" s="426"/>
    </row>
    <row r="17" spans="1:7" ht="55.2">
      <c r="A17" s="36">
        <v>1</v>
      </c>
      <c r="B17" s="1" t="s">
        <v>148</v>
      </c>
      <c r="C17" s="2" t="e">
        <f>'BĐC '!#REF!</f>
        <v>#REF!</v>
      </c>
      <c r="D17" s="3" t="e">
        <f>'BĐC '!#REF!</f>
        <v>#REF!</v>
      </c>
      <c r="E17" s="4">
        <v>1</v>
      </c>
      <c r="F17" s="5" t="e">
        <f>C17*D17*E17</f>
        <v>#REF!</v>
      </c>
    </row>
    <row r="18" spans="1:7" ht="55.2">
      <c r="A18" s="36">
        <v>2</v>
      </c>
      <c r="B18" s="1" t="s">
        <v>149</v>
      </c>
      <c r="C18" s="2">
        <v>19067.3</v>
      </c>
      <c r="D18" s="3" t="e">
        <f>D17</f>
        <v>#REF!</v>
      </c>
      <c r="E18" s="4">
        <v>1</v>
      </c>
      <c r="F18" s="5" t="e">
        <f>C18*D18*E18</f>
        <v>#REF!</v>
      </c>
    </row>
    <row r="19" spans="1:7" ht="27.6">
      <c r="A19" s="36">
        <v>2</v>
      </c>
      <c r="B19" s="1" t="s">
        <v>134</v>
      </c>
      <c r="C19" s="37">
        <v>0</v>
      </c>
      <c r="D19" s="3" t="e">
        <f>'TSSS '!#REF!</f>
        <v>#REF!</v>
      </c>
      <c r="E19" s="4" t="e">
        <f>'TSSS '!#REF!</f>
        <v>#REF!</v>
      </c>
      <c r="F19" s="5" t="e">
        <f>C19*D19*E19</f>
        <v>#REF!</v>
      </c>
    </row>
    <row r="20" spans="1:7">
      <c r="A20" s="427" t="s">
        <v>44</v>
      </c>
      <c r="B20" s="428"/>
      <c r="C20" s="428"/>
      <c r="D20" s="428"/>
      <c r="E20" s="429"/>
      <c r="F20" s="6" t="e">
        <f>SUM(F17:F19)</f>
        <v>#REF!</v>
      </c>
    </row>
    <row r="21" spans="1:7">
      <c r="A21" s="427" t="s">
        <v>56</v>
      </c>
      <c r="B21" s="428"/>
      <c r="C21" s="428"/>
      <c r="D21" s="428"/>
      <c r="E21" s="429"/>
      <c r="F21" s="8" t="e">
        <f>ROUND(F20,-6)</f>
        <v>#REF!</v>
      </c>
    </row>
    <row r="22" spans="1:7">
      <c r="A22" s="427" t="s">
        <v>161</v>
      </c>
      <c r="B22" s="428"/>
      <c r="C22" s="428"/>
      <c r="D22" s="428"/>
      <c r="E22" s="428"/>
      <c r="F22" s="429"/>
    </row>
    <row r="24" spans="1:7">
      <c r="E24" s="9"/>
    </row>
    <row r="25" spans="1:7">
      <c r="D25" s="10"/>
      <c r="E25" s="10"/>
    </row>
    <row r="26" spans="1:7">
      <c r="D26" s="10"/>
      <c r="E26" s="10"/>
      <c r="F26" s="9"/>
    </row>
    <row r="27" spans="1:7">
      <c r="D27" s="10"/>
      <c r="E27" s="10"/>
      <c r="F27" s="10"/>
      <c r="G27" s="7">
        <v>112.9</v>
      </c>
    </row>
    <row r="28" spans="1:7">
      <c r="E28" s="10"/>
      <c r="F28" s="10"/>
      <c r="G28" s="7">
        <v>176.3</v>
      </c>
    </row>
    <row r="29" spans="1:7">
      <c r="E29" s="9"/>
      <c r="F29" s="9"/>
      <c r="G29" s="7">
        <v>166</v>
      </c>
    </row>
    <row r="30" spans="1:7">
      <c r="F30" s="9"/>
      <c r="G30" s="7">
        <v>162</v>
      </c>
    </row>
    <row r="31" spans="1:7">
      <c r="F31" s="9"/>
    </row>
    <row r="32" spans="1:7">
      <c r="F32" s="9"/>
    </row>
    <row r="33" spans="6:6">
      <c r="F33" s="9"/>
    </row>
  </sheetData>
  <mergeCells count="10">
    <mergeCell ref="B12:D12"/>
    <mergeCell ref="F15:F16"/>
    <mergeCell ref="A20:E20"/>
    <mergeCell ref="A21:E21"/>
    <mergeCell ref="A22:F22"/>
    <mergeCell ref="A15:A16"/>
    <mergeCell ref="B15:B16"/>
    <mergeCell ref="C15:C16"/>
    <mergeCell ref="D15:D16"/>
    <mergeCell ref="E15:E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7"/>
  <sheetViews>
    <sheetView zoomScale="84" zoomScaleNormal="117" workbookViewId="0">
      <pane ySplit="1" topLeftCell="A2" activePane="bottomLeft" state="frozen"/>
      <selection activeCell="C8" sqref="C8"/>
      <selection pane="bottomLeft" activeCell="C8" sqref="C8"/>
    </sheetView>
  </sheetViews>
  <sheetFormatPr defaultColWidth="9" defaultRowHeight="15.6"/>
  <cols>
    <col min="1" max="1" width="9" style="123"/>
    <col min="2" max="2" width="22.796875" style="123" customWidth="1"/>
    <col min="3" max="3" width="27.5" style="124" bestFit="1" customWidth="1"/>
    <col min="4" max="4" width="9" style="133" customWidth="1"/>
    <col min="5" max="5" width="9" style="134" customWidth="1"/>
    <col min="6" max="7" width="9" style="135" customWidth="1"/>
    <col min="8" max="16384" width="9" style="123"/>
  </cols>
  <sheetData>
    <row r="1" spans="2:7">
      <c r="B1" s="123" t="s">
        <v>216</v>
      </c>
      <c r="C1" s="175" t="s">
        <v>290</v>
      </c>
      <c r="D1" s="136" t="str">
        <f>MID(C1,4,6)</f>
        <v>100122</v>
      </c>
      <c r="E1" s="137" t="str">
        <f>LEFT(D1,2)</f>
        <v>10</v>
      </c>
      <c r="F1" s="138" t="str">
        <f>MID(D1,3,2)</f>
        <v>01</v>
      </c>
      <c r="G1" s="138" t="str">
        <f>RIGHT(D1,2)</f>
        <v>22</v>
      </c>
    </row>
    <row r="2" spans="2:7">
      <c r="B2" t="s">
        <v>249</v>
      </c>
      <c r="C2" s="176" t="str">
        <f>C1&amp;"/HĐTĐ-VFI"</f>
        <v>04.100122.1.A021/HĐTĐ-VFI</v>
      </c>
    </row>
    <row r="3" spans="2:7">
      <c r="B3" t="s">
        <v>250</v>
      </c>
      <c r="C3" s="176" t="str">
        <f>$C$1&amp;"/CT-VFI"</f>
        <v>04.100122.1.A021/CT-VFI</v>
      </c>
    </row>
    <row r="4" spans="2:7" hidden="1">
      <c r="B4" s="123" t="s">
        <v>254</v>
      </c>
      <c r="C4" s="176" t="str">
        <f>$C$1&amp;"/BC-VFI"</f>
        <v>04.100122.1.A021/BC-VFI</v>
      </c>
    </row>
    <row r="6" spans="2:7">
      <c r="B6" s="123" t="s">
        <v>223</v>
      </c>
      <c r="C6" s="177" t="str">
        <f>E1&amp;"/"&amp;F1&amp;"/20"&amp;G1</f>
        <v>10/01/2022</v>
      </c>
    </row>
    <row r="7" spans="2:7">
      <c r="B7" s="123" t="s">
        <v>217</v>
      </c>
      <c r="C7" s="178" t="s">
        <v>291</v>
      </c>
    </row>
    <row r="8" spans="2:7">
      <c r="B8" s="123" t="s">
        <v>218</v>
      </c>
      <c r="C8" s="179">
        <f>DAY(C7)</f>
        <v>12</v>
      </c>
    </row>
    <row r="9" spans="2:7">
      <c r="B9" s="123" t="s">
        <v>219</v>
      </c>
      <c r="C9" s="179">
        <f>MONTH(C7)</f>
        <v>1</v>
      </c>
    </row>
    <row r="10" spans="2:7">
      <c r="B10" s="123" t="s">
        <v>220</v>
      </c>
      <c r="C10" s="179">
        <f>YEAR(C7)</f>
        <v>2022</v>
      </c>
    </row>
    <row r="12" spans="2:7" hidden="1">
      <c r="B12" s="123" t="s">
        <v>255</v>
      </c>
      <c r="C12" s="140"/>
    </row>
    <row r="13" spans="2:7" hidden="1">
      <c r="B13" s="123" t="s">
        <v>256</v>
      </c>
      <c r="C13" s="141"/>
    </row>
    <row r="14" spans="2:7" hidden="1">
      <c r="B14" s="123" t="s">
        <v>257</v>
      </c>
      <c r="C14" s="141"/>
    </row>
    <row r="15" spans="2:7" hidden="1">
      <c r="B15" s="123" t="s">
        <v>258</v>
      </c>
      <c r="C15" s="141"/>
    </row>
    <row r="16" spans="2:7" hidden="1">
      <c r="B16" s="123" t="s">
        <v>260</v>
      </c>
      <c r="C16" s="141"/>
    </row>
    <row r="17" spans="2:3" hidden="1">
      <c r="B17" s="123" t="s">
        <v>259</v>
      </c>
      <c r="C17" s="141"/>
    </row>
  </sheetData>
  <phoneticPr fontId="21"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3:J18"/>
  <sheetViews>
    <sheetView topLeftCell="A5" zoomScale="67" workbookViewId="0">
      <selection activeCell="C8" sqref="C8"/>
    </sheetView>
  </sheetViews>
  <sheetFormatPr defaultColWidth="9" defaultRowHeight="15.6"/>
  <cols>
    <col min="1" max="1" width="16" style="56" customWidth="1"/>
    <col min="2" max="2" width="1.796875" style="56" customWidth="1"/>
    <col min="3" max="3" width="12.296875" style="56" customWidth="1"/>
    <col min="4" max="4" width="11.5" style="56" customWidth="1"/>
    <col min="5" max="5" width="11" style="56" customWidth="1"/>
    <col min="6" max="6" width="14.796875" style="56" customWidth="1"/>
    <col min="7" max="16384" width="9" style="56"/>
  </cols>
  <sheetData>
    <row r="3" spans="1:10" ht="20.399999999999999">
      <c r="A3" s="351" t="s">
        <v>177</v>
      </c>
      <c r="B3" s="351"/>
      <c r="C3" s="351"/>
      <c r="D3" s="351"/>
      <c r="E3" s="351"/>
      <c r="F3" s="351"/>
      <c r="G3" s="351"/>
      <c r="H3" s="351"/>
    </row>
    <row r="6" spans="1:10" ht="37.5" customHeight="1">
      <c r="A6" s="52" t="s">
        <v>178</v>
      </c>
      <c r="B6" s="56" t="s">
        <v>182</v>
      </c>
      <c r="C6" s="350" t="str">
        <f>KHTĐG!B13</f>
        <v>Ông Dương Văn Khang</v>
      </c>
      <c r="D6" s="350"/>
      <c r="E6" s="350"/>
      <c r="F6" s="350"/>
      <c r="G6" s="350"/>
      <c r="H6" s="350"/>
      <c r="J6" s="142">
        <f>TTCB!C16</f>
        <v>0</v>
      </c>
    </row>
    <row r="7" spans="1:10" ht="77.25" customHeight="1">
      <c r="A7" s="125" t="s">
        <v>10</v>
      </c>
      <c r="B7" s="125" t="s">
        <v>182</v>
      </c>
      <c r="C7" s="352" t="str">
        <f>'Thông tin TSTĐ'!F12</f>
        <v>Giá trị quyền sử dụng đất tại thửa đất số: 24, tờ bản đồ số: 04, có địa chỉ tại: Thôn Trình Xá, Xã Đỗ Động, Huyện Thanh Oai, tỉnh Hà Tây (nay là thành phố Hà Nội) theo Giấy chứng nhận quyền sử dụng đất số: AK 854606, số vào sổ cấp GCN: H.00998 do UBND Huyện Thanh Oai cấp ngày 22/01/2008. Chủ sử dụng đất là Ông Dương Văn Khang</v>
      </c>
      <c r="D7" s="352"/>
      <c r="E7" s="352"/>
      <c r="F7" s="352"/>
      <c r="G7" s="352"/>
      <c r="H7" s="352"/>
      <c r="J7" s="61"/>
    </row>
    <row r="8" spans="1:10">
      <c r="A8" s="56" t="s">
        <v>179</v>
      </c>
      <c r="B8" s="56" t="s">
        <v>182</v>
      </c>
      <c r="C8" s="56" t="str">
        <f>TTCB!C1</f>
        <v>04.100122.1.A021</v>
      </c>
    </row>
    <row r="9" spans="1:10">
      <c r="A9" s="56" t="s">
        <v>180</v>
      </c>
      <c r="B9" s="56" t="s">
        <v>182</v>
      </c>
      <c r="C9" s="56" t="str">
        <f>"Ngày "&amp;TTCB!C8&amp;" tháng "&amp;TTCB!C9&amp;" năm "&amp;TTCB!C10</f>
        <v>Ngày 12 tháng 1 năm 2022</v>
      </c>
    </row>
    <row r="10" spans="1:10">
      <c r="A10" s="56" t="s">
        <v>181</v>
      </c>
      <c r="B10" s="56" t="s">
        <v>182</v>
      </c>
      <c r="C10" s="56" t="str">
        <f>C9</f>
        <v>Ngày 12 tháng 1 năm 2022</v>
      </c>
    </row>
    <row r="13" spans="1:10">
      <c r="A13" s="52" t="s">
        <v>183</v>
      </c>
    </row>
    <row r="14" spans="1:10">
      <c r="A14" s="56" t="s">
        <v>184</v>
      </c>
      <c r="E14" s="56" t="s">
        <v>221</v>
      </c>
    </row>
    <row r="15" spans="1:10">
      <c r="A15" s="56" t="s">
        <v>185</v>
      </c>
      <c r="E15" s="56" t="s">
        <v>222</v>
      </c>
    </row>
    <row r="16" spans="1:10">
      <c r="A16" s="56" t="s">
        <v>186</v>
      </c>
      <c r="E16" s="56" t="s">
        <v>221</v>
      </c>
    </row>
    <row r="17" spans="1:5">
      <c r="A17" s="56" t="s">
        <v>187</v>
      </c>
      <c r="E17" s="56" t="s">
        <v>221</v>
      </c>
    </row>
    <row r="18" spans="1:5">
      <c r="A18" s="56" t="s">
        <v>188</v>
      </c>
      <c r="E18" s="56" t="s">
        <v>221</v>
      </c>
    </row>
  </sheetData>
  <mergeCells count="3">
    <mergeCell ref="C6:H6"/>
    <mergeCell ref="A3:H3"/>
    <mergeCell ref="C7:H7"/>
  </mergeCells>
  <pageMargins left="0.7" right="0.42"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9:D43"/>
  <sheetViews>
    <sheetView zoomScale="71" workbookViewId="0">
      <selection activeCell="C8" sqref="C8"/>
    </sheetView>
  </sheetViews>
  <sheetFormatPr defaultColWidth="9" defaultRowHeight="15.6"/>
  <cols>
    <col min="1" max="1" width="9" style="56" customWidth="1"/>
    <col min="2" max="2" width="24" style="56" customWidth="1"/>
    <col min="3" max="3" width="23.5" style="56" customWidth="1"/>
    <col min="4" max="4" width="31" style="56" customWidth="1"/>
    <col min="5" max="16384" width="9" style="56"/>
  </cols>
  <sheetData>
    <row r="9" spans="1:4">
      <c r="A9" s="56" t="s">
        <v>189</v>
      </c>
      <c r="B9" s="56" t="str">
        <f>TTCB!C1&amp;"/KH-TĐG"</f>
        <v>04.100122.1.A021/KH-TĐG</v>
      </c>
    </row>
    <row r="11" spans="1:4" ht="20.399999999999999">
      <c r="A11" s="351" t="s">
        <v>190</v>
      </c>
      <c r="B11" s="351"/>
      <c r="C11" s="351"/>
      <c r="D11" s="351"/>
    </row>
    <row r="13" spans="1:4" ht="36.75" customHeight="1">
      <c r="A13" s="59" t="s">
        <v>191</v>
      </c>
      <c r="B13" s="350" t="str">
        <f>'Thông tin TSTĐ'!F5</f>
        <v>Ông Dương Văn Khang</v>
      </c>
      <c r="C13" s="350"/>
      <c r="D13" s="350"/>
    </row>
    <row r="14" spans="1:4" hidden="1"/>
    <row r="15" spans="1:4" ht="58.5" customHeight="1">
      <c r="A15" s="354" t="str">
        <f>"Thực hiện Hợp đồng thẩm định giá số "&amp;HSTĐG!C8&amp;"/HĐTĐ-VFI ký ngày "&amp;TTCB!C6&amp;" giữa "&amp;TTCB!C12&amp;" với Công ty Cổ phần Thẩm định và Đầu tư Tài chính Hoa Sen"</f>
        <v>Thực hiện Hợp đồng thẩm định giá số 04.100122.1.A021/HĐTĐ-VFI ký ngày 10/01/2022 giữa  với Công ty Cổ phần Thẩm định và Đầu tư Tài chính Hoa Sen</v>
      </c>
      <c r="B15" s="354"/>
      <c r="C15" s="354"/>
      <c r="D15" s="354"/>
    </row>
    <row r="17" spans="1:4">
      <c r="A17" s="56" t="s">
        <v>192</v>
      </c>
    </row>
    <row r="19" spans="1:4">
      <c r="A19" s="52" t="s">
        <v>64</v>
      </c>
      <c r="B19" s="52" t="s">
        <v>193</v>
      </c>
    </row>
    <row r="20" spans="1:4">
      <c r="A20" s="53" t="s">
        <v>65</v>
      </c>
      <c r="B20" s="51" t="s">
        <v>207</v>
      </c>
    </row>
    <row r="21" spans="1:4">
      <c r="A21" s="53" t="s">
        <v>65</v>
      </c>
      <c r="B21" s="51" t="s">
        <v>208</v>
      </c>
    </row>
    <row r="22" spans="1:4">
      <c r="A22" s="53" t="s">
        <v>65</v>
      </c>
      <c r="B22" s="51" t="s">
        <v>209</v>
      </c>
    </row>
    <row r="23" spans="1:4">
      <c r="A23" s="53" t="s">
        <v>65</v>
      </c>
      <c r="B23" s="51" t="s">
        <v>210</v>
      </c>
    </row>
    <row r="24" spans="1:4">
      <c r="A24" s="53" t="s">
        <v>65</v>
      </c>
      <c r="B24" s="51" t="s">
        <v>211</v>
      </c>
    </row>
    <row r="26" spans="1:4">
      <c r="A26" s="54" t="s">
        <v>194</v>
      </c>
      <c r="B26" s="54" t="s">
        <v>195</v>
      </c>
    </row>
    <row r="27" spans="1:4" ht="18.600000000000001" customHeight="1">
      <c r="A27" s="54"/>
      <c r="B27" s="54"/>
    </row>
    <row r="28" spans="1:4" s="57" customFormat="1">
      <c r="B28" s="55" t="s">
        <v>196</v>
      </c>
      <c r="C28" s="55" t="s">
        <v>197</v>
      </c>
      <c r="D28" s="55" t="s">
        <v>198</v>
      </c>
    </row>
    <row r="29" spans="1:4">
      <c r="B29" s="58" t="s">
        <v>199</v>
      </c>
      <c r="C29" s="58" t="s">
        <v>201</v>
      </c>
      <c r="D29" s="58" t="s">
        <v>203</v>
      </c>
    </row>
    <row r="30" spans="1:4">
      <c r="B30" s="58" t="s">
        <v>200</v>
      </c>
      <c r="C30" s="58" t="s">
        <v>171</v>
      </c>
      <c r="D30" s="58" t="s">
        <v>204</v>
      </c>
    </row>
    <row r="31" spans="1:4">
      <c r="B31" s="58" t="s">
        <v>288</v>
      </c>
      <c r="C31" s="58" t="s">
        <v>202</v>
      </c>
      <c r="D31" s="58" t="s">
        <v>205</v>
      </c>
    </row>
    <row r="32" spans="1:4">
      <c r="B32" s="58" t="s">
        <v>264</v>
      </c>
      <c r="C32" s="58" t="s">
        <v>202</v>
      </c>
      <c r="D32" s="58" t="s">
        <v>206</v>
      </c>
    </row>
    <row r="33" spans="1:4" ht="27" customHeight="1"/>
    <row r="34" spans="1:4" ht="39" customHeight="1">
      <c r="A34" s="353" t="s">
        <v>215</v>
      </c>
      <c r="B34" s="353"/>
      <c r="C34" s="353"/>
      <c r="D34" s="353"/>
    </row>
    <row r="36" spans="1:4">
      <c r="A36" s="56" t="s">
        <v>212</v>
      </c>
    </row>
    <row r="37" spans="1:4">
      <c r="D37" s="60" t="str">
        <f>"Hà Nội, ngày "&amp;TTCB!E1&amp;" tháng "&amp;TTCB!F1&amp;" năm 20"&amp;TTCB!G1</f>
        <v>Hà Nội, ngày 10 tháng 01 năm 2022</v>
      </c>
    </row>
    <row r="38" spans="1:4" s="57" customFormat="1">
      <c r="B38" s="57" t="s">
        <v>213</v>
      </c>
      <c r="D38" s="57" t="s">
        <v>201</v>
      </c>
    </row>
    <row r="43" spans="1:4" s="57" customFormat="1">
      <c r="B43" s="57" t="s">
        <v>289</v>
      </c>
      <c r="D43" s="57" t="s">
        <v>214</v>
      </c>
    </row>
  </sheetData>
  <mergeCells count="4">
    <mergeCell ref="A34:D34"/>
    <mergeCell ref="A15:D15"/>
    <mergeCell ref="A11:D11"/>
    <mergeCell ref="B13:D13"/>
  </mergeCells>
  <pageMargins left="0.7" right="0.7" top="0.75" bottom="0.75" header="0.3" footer="0.3"/>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71"/>
  <sheetViews>
    <sheetView topLeftCell="A34" zoomScaleNormal="60" workbookViewId="0">
      <selection activeCell="B12" sqref="B12:E12"/>
    </sheetView>
  </sheetViews>
  <sheetFormatPr defaultColWidth="8" defaultRowHeight="15.6"/>
  <cols>
    <col min="1" max="1" width="5.5" style="21" customWidth="1"/>
    <col min="2" max="2" width="19.5" style="17" customWidth="1"/>
    <col min="3" max="3" width="20.796875" style="20" customWidth="1"/>
    <col min="4" max="4" width="17.5" style="20" customWidth="1"/>
    <col min="5" max="5" width="23.296875" style="20" customWidth="1"/>
    <col min="6" max="6" width="56.69921875" style="11" customWidth="1"/>
    <col min="7" max="7" width="26.19921875" style="11" customWidth="1"/>
    <col min="8" max="14" width="8" style="11"/>
    <col min="15" max="16" width="8" style="17" customWidth="1"/>
    <col min="17" max="16384" width="8" style="17"/>
  </cols>
  <sheetData>
    <row r="1" spans="1:14">
      <c r="F1" s="196" t="s">
        <v>343</v>
      </c>
      <c r="G1" s="221"/>
      <c r="H1" s="221"/>
      <c r="I1" s="221"/>
      <c r="J1" s="221"/>
      <c r="K1" s="221"/>
      <c r="L1" s="221"/>
      <c r="M1" s="221"/>
      <c r="N1" s="221"/>
    </row>
    <row r="2" spans="1:14">
      <c r="F2" s="197" t="s">
        <v>344</v>
      </c>
      <c r="G2" s="221" t="s">
        <v>333</v>
      </c>
      <c r="H2" s="221"/>
      <c r="I2" s="221"/>
      <c r="J2" s="221"/>
      <c r="K2" s="221"/>
      <c r="L2" s="221"/>
      <c r="M2" s="221"/>
      <c r="N2" s="221"/>
    </row>
    <row r="3" spans="1:14">
      <c r="F3" s="196" t="s">
        <v>345</v>
      </c>
      <c r="G3" s="222" t="s">
        <v>376</v>
      </c>
      <c r="H3" s="221"/>
      <c r="I3" s="221" t="s">
        <v>334</v>
      </c>
      <c r="J3" s="221"/>
      <c r="K3" s="221"/>
      <c r="L3" s="221" t="s">
        <v>335</v>
      </c>
      <c r="M3" s="221"/>
      <c r="N3" s="221"/>
    </row>
    <row r="4" spans="1:14" s="11" customFormat="1" ht="24" customHeight="1">
      <c r="A4" s="364"/>
      <c r="B4" s="364"/>
      <c r="C4" s="364"/>
      <c r="D4" s="364"/>
      <c r="E4" s="364"/>
      <c r="F4" s="198" t="s">
        <v>346</v>
      </c>
      <c r="G4" s="221" t="s">
        <v>332</v>
      </c>
      <c r="H4" s="221"/>
      <c r="I4" s="221"/>
      <c r="J4" s="221"/>
      <c r="K4" s="221"/>
      <c r="L4" s="221"/>
      <c r="M4" s="221"/>
      <c r="N4" s="221"/>
    </row>
    <row r="5" spans="1:14" s="11" customFormat="1" ht="24" customHeight="1">
      <c r="A5" s="39"/>
      <c r="B5" s="39"/>
      <c r="C5" s="39"/>
      <c r="D5" s="39"/>
      <c r="E5" s="39"/>
      <c r="F5" s="199" t="s">
        <v>347</v>
      </c>
      <c r="G5" s="224" t="s">
        <v>377</v>
      </c>
      <c r="H5" s="221"/>
      <c r="I5" s="221"/>
      <c r="J5" s="221"/>
      <c r="K5" s="221"/>
      <c r="L5" s="221"/>
      <c r="M5" s="221"/>
      <c r="N5" s="221"/>
    </row>
    <row r="6" spans="1:14" s="11" customFormat="1" ht="30" customHeight="1">
      <c r="A6" s="39"/>
      <c r="B6" s="39"/>
      <c r="C6" s="39"/>
      <c r="D6" s="39"/>
      <c r="E6" s="39"/>
      <c r="F6" s="143" t="s">
        <v>341</v>
      </c>
      <c r="G6" s="225">
        <v>1940</v>
      </c>
      <c r="H6" s="221"/>
      <c r="I6" s="221"/>
      <c r="J6" s="221"/>
      <c r="K6" s="221"/>
      <c r="L6" s="221"/>
      <c r="M6" s="221"/>
      <c r="N6" s="221"/>
    </row>
    <row r="7" spans="1:14" s="11" customFormat="1" ht="24" customHeight="1">
      <c r="A7" s="364" t="s">
        <v>169</v>
      </c>
      <c r="B7" s="364"/>
      <c r="C7" s="364"/>
      <c r="D7" s="364"/>
      <c r="E7" s="364"/>
      <c r="G7" s="225">
        <v>111876360</v>
      </c>
      <c r="H7" s="221"/>
      <c r="I7" s="221"/>
      <c r="J7" s="221"/>
      <c r="K7" s="221"/>
      <c r="L7" s="221"/>
      <c r="M7" s="221"/>
      <c r="N7" s="221"/>
    </row>
    <row r="8" spans="1:14" s="11" customFormat="1" ht="24" customHeight="1">
      <c r="A8" s="364" t="str">
        <f>"Thời điểm khảo sát: Ngày "&amp;G12&amp;" tháng "&amp;H12&amp;" năm 20"&amp;I12&amp;""</f>
        <v>Thời điểm khảo sát: Ngày 15 tháng 06 năm 2023</v>
      </c>
      <c r="B8" s="364"/>
      <c r="C8" s="364"/>
      <c r="D8" s="364"/>
      <c r="E8" s="364"/>
      <c r="G8" s="226" t="s">
        <v>378</v>
      </c>
      <c r="H8" s="221"/>
      <c r="I8" s="221"/>
      <c r="J8" s="221"/>
      <c r="K8" s="221"/>
      <c r="L8" s="221"/>
      <c r="M8" s="221"/>
      <c r="N8" s="221"/>
    </row>
    <row r="9" spans="1:14" s="11" customFormat="1" ht="24" customHeight="1">
      <c r="A9" s="39"/>
      <c r="B9" s="39"/>
      <c r="C9" s="39"/>
      <c r="D9" s="39"/>
      <c r="E9" s="39"/>
    </row>
    <row r="10" spans="1:14" s="11" customFormat="1" ht="24" hidden="1" customHeight="1">
      <c r="A10" s="39"/>
      <c r="B10" s="39"/>
      <c r="C10" s="39"/>
      <c r="D10" s="39"/>
      <c r="E10" s="39"/>
    </row>
    <row r="11" spans="1:14" s="12" customFormat="1" hidden="1">
      <c r="A11" s="367" t="s">
        <v>62</v>
      </c>
      <c r="B11" s="367"/>
      <c r="C11" s="367"/>
      <c r="D11" s="367"/>
      <c r="E11" s="367"/>
    </row>
    <row r="12" spans="1:14" s="12" customFormat="1" ht="92.25" customHeight="1">
      <c r="A12" s="149" t="s">
        <v>63</v>
      </c>
      <c r="B12" s="356" t="str">
        <f>"Giá trị quyền sử dụng đất tại thửa đất số: "&amp;C15&amp;", tờ bản đồ số: "&amp;E15&amp;", có địa chỉ tại: "&amp;C16&amp;" theo "&amp;F6&amp;" số: "&amp;F1&amp;", số vào sổ cấp GCN: "&amp;F2&amp;" do "&amp;F3&amp;" cấp ngày "&amp;F4&amp;". Chủ sử dụng đất là "&amp;F5</f>
        <v>Giá trị quyền sử dụng đất tại thửa đất số: 24, tờ bản đồ số: 04, có địa chỉ tại: Thôn Trình Xá, Xã Đỗ Động, Huyện Thanh Oai, tỉnh Hà Tây (nay là thành phố Hà Nội) theo Giấy chứng nhận quyền sử dụng đất số: AK 854606, số vào sổ cấp GCN: H.00998 do UBND Huyện Thanh Oai cấp ngày 22/01/2008. Chủ sử dụng đất là Ông Dương Văn Khang</v>
      </c>
      <c r="C12" s="356"/>
      <c r="D12" s="356"/>
      <c r="E12" s="356"/>
      <c r="F12" s="139" t="str">
        <f>B12</f>
        <v>Giá trị quyền sử dụng đất tại thửa đất số: 24, tờ bản đồ số: 04, có địa chỉ tại: Thôn Trình Xá, Xã Đỗ Động, Huyện Thanh Oai, tỉnh Hà Tây (nay là thành phố Hà Nội) theo Giấy chứng nhận quyền sử dụng đất số: AK 854606, số vào sổ cấp GCN: H.00998 do UBND Huyện Thanh Oai cấp ngày 22/01/2008. Chủ sử dụng đất là Ông Dương Văn Khang</v>
      </c>
      <c r="G12" s="223" t="s">
        <v>375</v>
      </c>
      <c r="H12" s="223" t="s">
        <v>373</v>
      </c>
      <c r="I12" s="223" t="s">
        <v>374</v>
      </c>
    </row>
    <row r="13" spans="1:14" s="11" customFormat="1" ht="15.75" customHeight="1">
      <c r="A13" s="13" t="s">
        <v>64</v>
      </c>
      <c r="B13" s="356" t="s">
        <v>296</v>
      </c>
      <c r="C13" s="356"/>
      <c r="D13" s="356"/>
      <c r="E13" s="356"/>
    </row>
    <row r="14" spans="1:14" s="11" customFormat="1" ht="15.75" customHeight="1">
      <c r="A14" s="13" t="s">
        <v>297</v>
      </c>
      <c r="B14" s="149" t="s">
        <v>301</v>
      </c>
      <c r="C14" s="149"/>
      <c r="D14" s="149"/>
      <c r="E14" s="149"/>
    </row>
    <row r="15" spans="1:14" s="11" customFormat="1" ht="15.75" customHeight="1">
      <c r="A15" s="14" t="s">
        <v>65</v>
      </c>
      <c r="B15" s="93" t="s">
        <v>138</v>
      </c>
      <c r="C15" s="150">
        <v>24</v>
      </c>
      <c r="D15" s="93" t="s">
        <v>139</v>
      </c>
      <c r="E15" s="150" t="s">
        <v>348</v>
      </c>
    </row>
    <row r="16" spans="1:14" s="11" customFormat="1" ht="34.5" customHeight="1">
      <c r="A16" s="14" t="s">
        <v>65</v>
      </c>
      <c r="B16" s="93" t="s">
        <v>66</v>
      </c>
      <c r="C16" s="368" t="s">
        <v>349</v>
      </c>
      <c r="D16" s="369"/>
      <c r="E16" s="370"/>
    </row>
    <row r="17" spans="1:6" s="11" customFormat="1" ht="15.75" customHeight="1">
      <c r="A17" s="14" t="s">
        <v>65</v>
      </c>
      <c r="B17" s="93" t="s">
        <v>67</v>
      </c>
      <c r="C17" s="151">
        <v>394</v>
      </c>
      <c r="D17" s="152" t="s">
        <v>68</v>
      </c>
      <c r="E17" s="153" t="s">
        <v>307</v>
      </c>
    </row>
    <row r="18" spans="1:6" s="11" customFormat="1" ht="34.950000000000003" customHeight="1">
      <c r="A18" s="14" t="s">
        <v>65</v>
      </c>
      <c r="B18" s="93" t="s">
        <v>69</v>
      </c>
      <c r="C18" s="153" t="s">
        <v>248</v>
      </c>
      <c r="D18" s="152" t="s">
        <v>70</v>
      </c>
      <c r="E18" s="153" t="s">
        <v>266</v>
      </c>
    </row>
    <row r="19" spans="1:6" s="11" customFormat="1" ht="30.75" customHeight="1">
      <c r="A19" s="14" t="s">
        <v>65</v>
      </c>
      <c r="B19" s="93" t="s">
        <v>71</v>
      </c>
      <c r="C19" s="366" t="s">
        <v>350</v>
      </c>
      <c r="D19" s="366"/>
      <c r="E19" s="366"/>
    </row>
    <row r="20" spans="1:6" s="11" customFormat="1" ht="15.75" hidden="1" customHeight="1">
      <c r="A20" s="13" t="s">
        <v>298</v>
      </c>
      <c r="B20" s="149" t="s">
        <v>301</v>
      </c>
      <c r="C20" s="149"/>
      <c r="D20" s="149"/>
      <c r="E20" s="149"/>
    </row>
    <row r="21" spans="1:6" s="11" customFormat="1" hidden="1">
      <c r="A21" s="14" t="s">
        <v>65</v>
      </c>
      <c r="B21" s="93" t="s">
        <v>138</v>
      </c>
      <c r="C21" s="150">
        <v>870</v>
      </c>
      <c r="D21" s="93" t="s">
        <v>139</v>
      </c>
      <c r="E21" s="150">
        <v>18</v>
      </c>
    </row>
    <row r="22" spans="1:6" s="11" customFormat="1" ht="22.5" hidden="1" customHeight="1">
      <c r="A22" s="14" t="s">
        <v>65</v>
      </c>
      <c r="B22" s="93" t="s">
        <v>66</v>
      </c>
      <c r="C22" s="368" t="s">
        <v>326</v>
      </c>
      <c r="D22" s="369"/>
      <c r="E22" s="370"/>
      <c r="F22" s="22" t="str">
        <f>C22</f>
        <v>Xã Thụy Hòa, huyện Yên Phong, tỉnh Bắc Ninh</v>
      </c>
    </row>
    <row r="23" spans="1:6" s="11" customFormat="1" ht="24.75" hidden="1" customHeight="1">
      <c r="A23" s="14" t="s">
        <v>65</v>
      </c>
      <c r="B23" s="93" t="s">
        <v>67</v>
      </c>
      <c r="C23" s="151">
        <v>11.3</v>
      </c>
      <c r="D23" s="152" t="s">
        <v>68</v>
      </c>
      <c r="E23" s="153" t="s">
        <v>307</v>
      </c>
    </row>
    <row r="24" spans="1:6" s="11" customFormat="1" hidden="1">
      <c r="A24" s="14" t="s">
        <v>65</v>
      </c>
      <c r="B24" s="93" t="s">
        <v>69</v>
      </c>
      <c r="C24" s="166" t="s">
        <v>248</v>
      </c>
      <c r="D24" s="152" t="s">
        <v>70</v>
      </c>
      <c r="E24" s="153" t="s">
        <v>266</v>
      </c>
      <c r="F24" s="15"/>
    </row>
    <row r="25" spans="1:6" s="11" customFormat="1" ht="22.5" hidden="1" customHeight="1">
      <c r="A25" s="14" t="s">
        <v>65</v>
      </c>
      <c r="B25" s="93" t="s">
        <v>71</v>
      </c>
      <c r="C25" s="366" t="s">
        <v>325</v>
      </c>
      <c r="D25" s="366"/>
      <c r="E25" s="366"/>
      <c r="F25" s="15"/>
    </row>
    <row r="26" spans="1:6" s="11" customFormat="1" ht="92.25" hidden="1" customHeight="1">
      <c r="A26" s="14" t="s">
        <v>65</v>
      </c>
      <c r="B26" s="93" t="s">
        <v>261</v>
      </c>
      <c r="C26" s="377" t="s">
        <v>340</v>
      </c>
      <c r="D26" s="378"/>
      <c r="E26" s="378"/>
      <c r="F26" s="15"/>
    </row>
    <row r="27" spans="1:6" s="11" customFormat="1" ht="82.5" hidden="1" customHeight="1">
      <c r="A27" s="14" t="s">
        <v>65</v>
      </c>
      <c r="B27" s="93" t="s">
        <v>262</v>
      </c>
      <c r="C27" s="371" t="s">
        <v>327</v>
      </c>
      <c r="D27" s="379"/>
      <c r="E27" s="380"/>
      <c r="F27" s="15"/>
    </row>
    <row r="28" spans="1:6" s="11" customFormat="1" ht="24" hidden="1" customHeight="1">
      <c r="A28" s="13" t="s">
        <v>298</v>
      </c>
      <c r="B28" s="356" t="s">
        <v>299</v>
      </c>
      <c r="C28" s="356"/>
      <c r="D28" s="356"/>
      <c r="E28" s="356"/>
    </row>
    <row r="29" spans="1:6" s="11" customFormat="1" ht="19.5" hidden="1" customHeight="1">
      <c r="A29" s="13" t="s">
        <v>65</v>
      </c>
      <c r="B29" s="156" t="s">
        <v>302</v>
      </c>
      <c r="C29" s="381" t="s">
        <v>331</v>
      </c>
      <c r="D29" s="382"/>
      <c r="E29" s="383"/>
    </row>
    <row r="30" spans="1:6" s="11" customFormat="1" ht="34.5" hidden="1" customHeight="1">
      <c r="A30" s="14" t="s">
        <v>65</v>
      </c>
      <c r="B30" s="93" t="s">
        <v>66</v>
      </c>
      <c r="C30" s="368" t="str">
        <f>C16</f>
        <v>Thôn Trình Xá, Xã Đỗ Động, Huyện Thanh Oai, tỉnh Hà Tây (nay là thành phố Hà Nội)</v>
      </c>
      <c r="D30" s="369"/>
      <c r="E30" s="370"/>
      <c r="F30" s="22" t="str">
        <f>C30</f>
        <v>Thôn Trình Xá, Xã Đỗ Động, Huyện Thanh Oai, tỉnh Hà Tây (nay là thành phố Hà Nội)</v>
      </c>
    </row>
    <row r="31" spans="1:6" s="11" customFormat="1" ht="19.5" hidden="1" customHeight="1">
      <c r="A31" s="14" t="s">
        <v>65</v>
      </c>
      <c r="B31" s="93" t="s">
        <v>303</v>
      </c>
      <c r="C31" s="151"/>
      <c r="D31" s="152" t="s">
        <v>304</v>
      </c>
      <c r="E31" s="151"/>
    </row>
    <row r="32" spans="1:6" s="11" customFormat="1" ht="22.5" hidden="1" customHeight="1">
      <c r="A32" s="14" t="s">
        <v>65</v>
      </c>
      <c r="B32" s="93" t="s">
        <v>337</v>
      </c>
      <c r="C32" s="158"/>
      <c r="D32" s="152" t="s">
        <v>305</v>
      </c>
      <c r="E32" s="151"/>
    </row>
    <row r="33" spans="1:16" s="11" customFormat="1" ht="24.75" hidden="1" customHeight="1">
      <c r="A33" s="14" t="s">
        <v>65</v>
      </c>
      <c r="B33" s="93" t="s">
        <v>336</v>
      </c>
      <c r="C33" s="158"/>
      <c r="D33" s="152" t="s">
        <v>107</v>
      </c>
      <c r="E33" s="151"/>
      <c r="F33" s="15"/>
    </row>
    <row r="34" spans="1:16" s="11" customFormat="1">
      <c r="A34" s="13" t="s">
        <v>72</v>
      </c>
      <c r="B34" s="356" t="s">
        <v>73</v>
      </c>
      <c r="C34" s="356"/>
      <c r="D34" s="356"/>
      <c r="E34" s="356"/>
    </row>
    <row r="35" spans="1:16" s="11" customFormat="1">
      <c r="A35" s="154" t="s">
        <v>74</v>
      </c>
      <c r="B35" s="356" t="s">
        <v>230</v>
      </c>
      <c r="C35" s="356"/>
      <c r="D35" s="356"/>
      <c r="E35" s="356"/>
    </row>
    <row r="36" spans="1:16" s="11" customFormat="1">
      <c r="A36" s="155" t="s">
        <v>65</v>
      </c>
      <c r="B36" s="358" t="s">
        <v>75</v>
      </c>
      <c r="C36" s="358"/>
      <c r="D36" s="358"/>
      <c r="E36" s="358"/>
      <c r="F36" s="145"/>
    </row>
    <row r="37" spans="1:16" s="11" customFormat="1" ht="270" customHeight="1">
      <c r="A37" s="155" t="s">
        <v>65</v>
      </c>
      <c r="B37" s="374"/>
      <c r="C37" s="375"/>
      <c r="D37" s="375"/>
      <c r="E37" s="376"/>
      <c r="F37" s="145" t="s">
        <v>369</v>
      </c>
    </row>
    <row r="38" spans="1:16" s="11" customFormat="1" ht="31.5" customHeight="1">
      <c r="A38" s="14" t="s">
        <v>65</v>
      </c>
      <c r="B38" s="93" t="s">
        <v>66</v>
      </c>
      <c r="C38" s="358" t="str">
        <f>C16</f>
        <v>Thôn Trình Xá, Xã Đỗ Động, Huyện Thanh Oai, tỉnh Hà Tây (nay là thành phố Hà Nội)</v>
      </c>
      <c r="D38" s="358"/>
      <c r="E38" s="358"/>
      <c r="F38" s="11" t="str">
        <f>C38</f>
        <v>Thôn Trình Xá, Xã Đỗ Động, Huyện Thanh Oai, tỉnh Hà Tây (nay là thành phố Hà Nội)</v>
      </c>
    </row>
    <row r="39" spans="1:16" s="11" customFormat="1">
      <c r="A39" s="14" t="s">
        <v>65</v>
      </c>
      <c r="B39" s="156" t="s">
        <v>76</v>
      </c>
      <c r="C39" s="152" t="s">
        <v>330</v>
      </c>
      <c r="D39" s="205" t="s">
        <v>77</v>
      </c>
      <c r="E39" s="206" t="s">
        <v>342</v>
      </c>
    </row>
    <row r="40" spans="1:16" s="11" customFormat="1" ht="128.25" customHeight="1">
      <c r="A40" s="14" t="s">
        <v>65</v>
      </c>
      <c r="B40" s="157" t="s">
        <v>112</v>
      </c>
      <c r="C40" s="158" t="s">
        <v>351</v>
      </c>
      <c r="D40" s="152" t="s">
        <v>231</v>
      </c>
      <c r="E40" s="158" t="s">
        <v>359</v>
      </c>
      <c r="F40" s="143"/>
    </row>
    <row r="41" spans="1:16" s="16" customFormat="1" ht="79.05" hidden="1" customHeight="1">
      <c r="A41" s="14" t="s">
        <v>65</v>
      </c>
      <c r="B41" s="93" t="s">
        <v>78</v>
      </c>
      <c r="C41" s="371" t="s">
        <v>144</v>
      </c>
      <c r="D41" s="372"/>
      <c r="E41" s="373"/>
    </row>
    <row r="42" spans="1:16" s="16" customFormat="1" ht="18.75" customHeight="1">
      <c r="A42" s="13" t="s">
        <v>79</v>
      </c>
      <c r="B42" s="356" t="s">
        <v>80</v>
      </c>
      <c r="C42" s="356"/>
      <c r="D42" s="356"/>
      <c r="E42" s="356"/>
    </row>
    <row r="43" spans="1:16" s="11" customFormat="1">
      <c r="A43" s="14" t="s">
        <v>65</v>
      </c>
      <c r="B43" s="93" t="s">
        <v>136</v>
      </c>
      <c r="C43" s="172">
        <f>C17</f>
        <v>394</v>
      </c>
      <c r="D43" s="93" t="s">
        <v>275</v>
      </c>
      <c r="E43" s="151" t="s">
        <v>353</v>
      </c>
    </row>
    <row r="44" spans="1:16" s="11" customFormat="1" ht="21.75" customHeight="1">
      <c r="A44" s="155" t="s">
        <v>65</v>
      </c>
      <c r="B44" s="208" t="s">
        <v>274</v>
      </c>
      <c r="C44" s="206" t="s">
        <v>352</v>
      </c>
      <c r="D44" s="207" t="s">
        <v>338</v>
      </c>
      <c r="E44" s="212" t="s">
        <v>354</v>
      </c>
      <c r="F44" s="23"/>
      <c r="O44" s="17"/>
      <c r="P44" s="17"/>
    </row>
    <row r="45" spans="1:16" s="11" customFormat="1">
      <c r="A45" s="155" t="s">
        <v>65</v>
      </c>
      <c r="B45" s="93" t="s">
        <v>81</v>
      </c>
      <c r="C45" s="209" t="s">
        <v>358</v>
      </c>
      <c r="D45" s="210"/>
      <c r="E45" s="211"/>
      <c r="F45" s="23"/>
      <c r="O45" s="17"/>
      <c r="P45" s="17"/>
    </row>
    <row r="46" spans="1:16" s="11" customFormat="1" ht="21" customHeight="1">
      <c r="A46" s="13" t="s">
        <v>82</v>
      </c>
      <c r="B46" s="357" t="s">
        <v>114</v>
      </c>
      <c r="C46" s="357"/>
      <c r="D46" s="357"/>
      <c r="E46" s="357"/>
      <c r="O46" s="17"/>
      <c r="P46" s="17"/>
    </row>
    <row r="47" spans="1:16" s="11" customFormat="1" ht="22.5" customHeight="1">
      <c r="A47" s="14" t="s">
        <v>65</v>
      </c>
      <c r="B47" s="156" t="s">
        <v>115</v>
      </c>
      <c r="C47" s="358" t="s">
        <v>83</v>
      </c>
      <c r="D47" s="358"/>
      <c r="E47" s="358"/>
      <c r="O47" s="17"/>
      <c r="P47" s="17"/>
    </row>
    <row r="48" spans="1:16" s="11" customFormat="1" ht="22.05" customHeight="1">
      <c r="A48" s="14" t="s">
        <v>65</v>
      </c>
      <c r="B48" s="156" t="s">
        <v>116</v>
      </c>
      <c r="C48" s="358" t="s">
        <v>113</v>
      </c>
      <c r="D48" s="358"/>
      <c r="E48" s="358"/>
      <c r="O48" s="17"/>
      <c r="P48" s="17"/>
    </row>
    <row r="49" spans="1:16" s="11" customFormat="1" ht="23.55" customHeight="1">
      <c r="A49" s="14" t="s">
        <v>65</v>
      </c>
      <c r="B49" s="156" t="s">
        <v>117</v>
      </c>
      <c r="C49" s="156" t="s">
        <v>356</v>
      </c>
      <c r="D49" s="156" t="s">
        <v>84</v>
      </c>
      <c r="E49" s="156" t="s">
        <v>85</v>
      </c>
      <c r="O49" s="17"/>
      <c r="P49" s="17"/>
    </row>
    <row r="50" spans="1:16" s="11" customFormat="1" ht="30.75" customHeight="1">
      <c r="A50" s="155" t="s">
        <v>65</v>
      </c>
      <c r="B50" s="156" t="s">
        <v>118</v>
      </c>
      <c r="C50" s="194" t="s">
        <v>357</v>
      </c>
      <c r="D50" s="156" t="s">
        <v>119</v>
      </c>
      <c r="E50" s="156" t="s">
        <v>137</v>
      </c>
      <c r="O50" s="17"/>
      <c r="P50" s="17"/>
    </row>
    <row r="51" spans="1:16" s="11" customFormat="1" ht="23.55" customHeight="1">
      <c r="A51" s="13" t="s">
        <v>86</v>
      </c>
      <c r="B51" s="356" t="s">
        <v>87</v>
      </c>
      <c r="C51" s="356"/>
      <c r="D51" s="356"/>
      <c r="E51" s="356"/>
      <c r="O51" s="17"/>
      <c r="P51" s="17"/>
    </row>
    <row r="52" spans="1:16" s="11" customFormat="1" ht="30" customHeight="1">
      <c r="A52" s="13"/>
      <c r="B52" s="149" t="s">
        <v>355</v>
      </c>
      <c r="C52" s="149"/>
      <c r="D52" s="149"/>
      <c r="E52" s="149"/>
      <c r="O52" s="17"/>
      <c r="P52" s="17"/>
    </row>
    <row r="53" spans="1:16" s="11" customFormat="1" ht="22.05" hidden="1" customHeight="1">
      <c r="A53" s="13" t="s">
        <v>140</v>
      </c>
      <c r="B53" s="35" t="s">
        <v>141</v>
      </c>
      <c r="C53" s="38" t="s">
        <v>142</v>
      </c>
      <c r="D53" s="35"/>
      <c r="E53" s="35"/>
      <c r="O53" s="17"/>
      <c r="P53" s="17"/>
    </row>
    <row r="54" spans="1:16" s="11" customFormat="1" ht="87.75" hidden="1" customHeight="1">
      <c r="A54" s="14"/>
      <c r="B54" s="355" t="s">
        <v>143</v>
      </c>
      <c r="C54" s="355"/>
      <c r="D54" s="355"/>
      <c r="E54" s="355"/>
      <c r="O54" s="17"/>
      <c r="P54" s="17"/>
    </row>
    <row r="55" spans="1:16" s="11" customFormat="1" hidden="1">
      <c r="A55" s="13">
        <v>2</v>
      </c>
      <c r="B55" s="359" t="s">
        <v>88</v>
      </c>
      <c r="C55" s="360"/>
      <c r="D55" s="360"/>
      <c r="E55" s="361"/>
      <c r="F55" s="18"/>
      <c r="O55" s="17"/>
      <c r="P55" s="17"/>
    </row>
    <row r="56" spans="1:16" s="11" customFormat="1" ht="65.25" hidden="1" customHeight="1">
      <c r="A56" s="13"/>
      <c r="B56" s="355" t="s">
        <v>89</v>
      </c>
      <c r="C56" s="355"/>
      <c r="D56" s="355"/>
      <c r="E56" s="355"/>
      <c r="O56" s="17"/>
      <c r="P56" s="17"/>
    </row>
    <row r="57" spans="1:16" s="11" customFormat="1" hidden="1">
      <c r="A57" s="13">
        <v>3</v>
      </c>
      <c r="B57" s="359" t="s">
        <v>90</v>
      </c>
      <c r="C57" s="360"/>
      <c r="D57" s="360"/>
      <c r="E57" s="361"/>
      <c r="F57" s="18"/>
      <c r="O57" s="17"/>
      <c r="P57" s="17"/>
    </row>
    <row r="58" spans="1:16" s="11" customFormat="1" ht="48" hidden="1" customHeight="1">
      <c r="A58" s="13"/>
      <c r="B58" s="355" t="s">
        <v>91</v>
      </c>
      <c r="C58" s="362"/>
      <c r="D58" s="362"/>
      <c r="E58" s="362"/>
      <c r="F58" s="18"/>
      <c r="O58" s="17"/>
      <c r="P58" s="17"/>
    </row>
    <row r="59" spans="1:16" s="11" customFormat="1" hidden="1">
      <c r="A59" s="13">
        <v>4</v>
      </c>
      <c r="B59" s="359" t="s">
        <v>92</v>
      </c>
      <c r="C59" s="360"/>
      <c r="D59" s="360"/>
      <c r="E59" s="361"/>
      <c r="O59" s="17"/>
      <c r="P59" s="17"/>
    </row>
    <row r="60" spans="1:16" s="11" customFormat="1" ht="33" hidden="1" customHeight="1">
      <c r="A60" s="14"/>
      <c r="B60" s="355" t="s">
        <v>93</v>
      </c>
      <c r="C60" s="362"/>
      <c r="D60" s="362"/>
      <c r="E60" s="362"/>
      <c r="F60" s="18"/>
      <c r="O60" s="17"/>
      <c r="P60" s="17"/>
    </row>
    <row r="61" spans="1:16" s="11" customFormat="1" hidden="1">
      <c r="A61" s="13">
        <v>5</v>
      </c>
      <c r="B61" s="359" t="s">
        <v>94</v>
      </c>
      <c r="C61" s="360"/>
      <c r="D61" s="360"/>
      <c r="E61" s="361"/>
      <c r="F61" s="18"/>
      <c r="O61" s="17"/>
      <c r="P61" s="17"/>
    </row>
    <row r="62" spans="1:16" s="11" customFormat="1" ht="6.75" hidden="1" customHeight="1">
      <c r="A62" s="14"/>
      <c r="B62" s="355" t="s">
        <v>95</v>
      </c>
      <c r="C62" s="362"/>
      <c r="D62" s="362"/>
      <c r="E62" s="362"/>
      <c r="F62" s="18"/>
      <c r="O62" s="17"/>
      <c r="P62" s="17"/>
    </row>
    <row r="63" spans="1:16" s="11" customFormat="1">
      <c r="A63" s="19"/>
      <c r="B63" s="17"/>
      <c r="C63" s="20"/>
      <c r="D63" s="20"/>
      <c r="E63" s="20"/>
      <c r="O63" s="17"/>
      <c r="P63" s="17"/>
    </row>
    <row r="65" spans="1:14">
      <c r="D65" s="363" t="s">
        <v>372</v>
      </c>
      <c r="E65" s="363"/>
    </row>
    <row r="66" spans="1:14" s="16" customFormat="1">
      <c r="A66" s="39"/>
      <c r="B66" s="364" t="s">
        <v>170</v>
      </c>
      <c r="C66" s="364"/>
      <c r="D66" s="364" t="s">
        <v>171</v>
      </c>
      <c r="E66" s="364"/>
      <c r="F66" s="40"/>
      <c r="G66" s="40"/>
      <c r="H66" s="40"/>
      <c r="I66" s="40"/>
      <c r="J66" s="40"/>
      <c r="K66" s="40"/>
      <c r="L66" s="40"/>
      <c r="M66" s="40"/>
      <c r="N66" s="40"/>
    </row>
    <row r="71" spans="1:14" s="39" customFormat="1">
      <c r="B71" s="365" t="s">
        <v>371</v>
      </c>
      <c r="C71" s="365"/>
      <c r="D71" s="365" t="s">
        <v>370</v>
      </c>
      <c r="E71" s="365"/>
      <c r="F71" s="41"/>
      <c r="G71" s="41"/>
      <c r="H71" s="41"/>
      <c r="I71" s="41"/>
      <c r="J71" s="41"/>
      <c r="K71" s="41"/>
      <c r="L71" s="41"/>
      <c r="M71" s="41"/>
      <c r="N71" s="41"/>
    </row>
  </sheetData>
  <mergeCells count="40">
    <mergeCell ref="C38:E38"/>
    <mergeCell ref="C41:E41"/>
    <mergeCell ref="B37:E37"/>
    <mergeCell ref="C26:E26"/>
    <mergeCell ref="C27:E27"/>
    <mergeCell ref="B28:E28"/>
    <mergeCell ref="C30:E30"/>
    <mergeCell ref="C29:E29"/>
    <mergeCell ref="C25:E25"/>
    <mergeCell ref="B34:E34"/>
    <mergeCell ref="B35:E35"/>
    <mergeCell ref="B36:E36"/>
    <mergeCell ref="A4:E4"/>
    <mergeCell ref="A11:E11"/>
    <mergeCell ref="B12:E12"/>
    <mergeCell ref="B13:E13"/>
    <mergeCell ref="C22:E22"/>
    <mergeCell ref="A7:E7"/>
    <mergeCell ref="A8:E8"/>
    <mergeCell ref="C16:E16"/>
    <mergeCell ref="C19:E19"/>
    <mergeCell ref="D65:E65"/>
    <mergeCell ref="D66:E66"/>
    <mergeCell ref="D71:E71"/>
    <mergeCell ref="B66:C66"/>
    <mergeCell ref="B71:C71"/>
    <mergeCell ref="B61:E61"/>
    <mergeCell ref="B62:E62"/>
    <mergeCell ref="B55:E55"/>
    <mergeCell ref="B56:E56"/>
    <mergeCell ref="B57:E57"/>
    <mergeCell ref="B58:E58"/>
    <mergeCell ref="B59:E59"/>
    <mergeCell ref="B60:E60"/>
    <mergeCell ref="B54:E54"/>
    <mergeCell ref="B42:E42"/>
    <mergeCell ref="B46:E46"/>
    <mergeCell ref="C47:E47"/>
    <mergeCell ref="C48:E48"/>
    <mergeCell ref="B51:E51"/>
  </mergeCells>
  <hyperlinks>
    <hyperlink ref="F37" r:id="rId1" xr:uid="{00000000-0004-0000-0400-000000000000}"/>
  </hyperlinks>
  <pageMargins left="0.7" right="0.7" top="0.75" bottom="0.49" header="0.3" footer="0.5"/>
  <pageSetup paperSize="9" scale="94" fitToHeight="0" orientation="portrait" verticalDpi="0" r:id="rId2"/>
  <headerFooter>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2:L69"/>
  <sheetViews>
    <sheetView topLeftCell="A2" zoomScale="99" zoomScaleNormal="99" workbookViewId="0">
      <selection activeCell="C7" sqref="C7"/>
    </sheetView>
  </sheetViews>
  <sheetFormatPr defaultRowHeight="13.8"/>
  <cols>
    <col min="1" max="1" width="5.09765625" style="214" customWidth="1"/>
    <col min="2" max="2" width="19.19921875" style="229" customWidth="1"/>
    <col min="3" max="5" width="22.69921875" style="230" customWidth="1"/>
    <col min="6" max="7" width="22.69921875" style="231" customWidth="1"/>
    <col min="8" max="8" width="13.09765625" style="214" customWidth="1"/>
    <col min="9" max="9" width="22" style="214" customWidth="1"/>
    <col min="10" max="10" width="15" style="214" bestFit="1" customWidth="1"/>
    <col min="11" max="11" width="17.796875" style="214" bestFit="1" customWidth="1"/>
    <col min="12" max="12" width="13.5" style="214" bestFit="1" customWidth="1"/>
    <col min="13" max="13" width="12" style="214" customWidth="1"/>
    <col min="14" max="256" width="8.69921875" style="214"/>
    <col min="257" max="257" width="9.796875" style="214" bestFit="1" customWidth="1"/>
    <col min="258" max="258" width="8.296875" style="214" bestFit="1" customWidth="1"/>
    <col min="259" max="259" width="18.59765625" style="214" customWidth="1"/>
    <col min="260" max="260" width="17.09765625" style="214" customWidth="1"/>
    <col min="261" max="261" width="14.59765625" style="214" bestFit="1" customWidth="1"/>
    <col min="262" max="262" width="8.69921875" style="214"/>
    <col min="263" max="263" width="3.796875" style="214" customWidth="1"/>
    <col min="264" max="264" width="14.5" style="214" bestFit="1" customWidth="1"/>
    <col min="265" max="265" width="7.09765625" style="214" bestFit="1" customWidth="1"/>
    <col min="266" max="266" width="8.59765625" style="214" bestFit="1" customWidth="1"/>
    <col min="267" max="267" width="5" style="214" bestFit="1" customWidth="1"/>
    <col min="268" max="268" width="13.5" style="214" bestFit="1" customWidth="1"/>
    <col min="269" max="269" width="12" style="214" customWidth="1"/>
    <col min="270" max="512" width="8.69921875" style="214"/>
    <col min="513" max="513" width="9.796875" style="214" bestFit="1" customWidth="1"/>
    <col min="514" max="514" width="8.296875" style="214" bestFit="1" customWidth="1"/>
    <col min="515" max="515" width="18.59765625" style="214" customWidth="1"/>
    <col min="516" max="516" width="17.09765625" style="214" customWidth="1"/>
    <col min="517" max="517" width="14.59765625" style="214" bestFit="1" customWidth="1"/>
    <col min="518" max="518" width="8.69921875" style="214"/>
    <col min="519" max="519" width="3.796875" style="214" customWidth="1"/>
    <col min="520" max="520" width="14.5" style="214" bestFit="1" customWidth="1"/>
    <col min="521" max="521" width="7.09765625" style="214" bestFit="1" customWidth="1"/>
    <col min="522" max="522" width="8.59765625" style="214" bestFit="1" customWidth="1"/>
    <col min="523" max="523" width="5" style="214" bestFit="1" customWidth="1"/>
    <col min="524" max="524" width="13.5" style="214" bestFit="1" customWidth="1"/>
    <col min="525" max="525" width="12" style="214" customWidth="1"/>
    <col min="526" max="768" width="8.69921875" style="214"/>
    <col min="769" max="769" width="9.796875" style="214" bestFit="1" customWidth="1"/>
    <col min="770" max="770" width="8.296875" style="214" bestFit="1" customWidth="1"/>
    <col min="771" max="771" width="18.59765625" style="214" customWidth="1"/>
    <col min="772" max="772" width="17.09765625" style="214" customWidth="1"/>
    <col min="773" max="773" width="14.59765625" style="214" bestFit="1" customWidth="1"/>
    <col min="774" max="774" width="8.69921875" style="214"/>
    <col min="775" max="775" width="3.796875" style="214" customWidth="1"/>
    <col min="776" max="776" width="14.5" style="214" bestFit="1" customWidth="1"/>
    <col min="777" max="777" width="7.09765625" style="214" bestFit="1" customWidth="1"/>
    <col min="778" max="778" width="8.59765625" style="214" bestFit="1" customWidth="1"/>
    <col min="779" max="779" width="5" style="214" bestFit="1" customWidth="1"/>
    <col min="780" max="780" width="13.5" style="214" bestFit="1" customWidth="1"/>
    <col min="781" max="781" width="12" style="214" customWidth="1"/>
    <col min="782" max="1024" width="8.69921875" style="214"/>
    <col min="1025" max="1025" width="9.796875" style="214" bestFit="1" customWidth="1"/>
    <col min="1026" max="1026" width="8.296875" style="214" bestFit="1" customWidth="1"/>
    <col min="1027" max="1027" width="18.59765625" style="214" customWidth="1"/>
    <col min="1028" max="1028" width="17.09765625" style="214" customWidth="1"/>
    <col min="1029" max="1029" width="14.59765625" style="214" bestFit="1" customWidth="1"/>
    <col min="1030" max="1030" width="8.69921875" style="214"/>
    <col min="1031" max="1031" width="3.796875" style="214" customWidth="1"/>
    <col min="1032" max="1032" width="14.5" style="214" bestFit="1" customWidth="1"/>
    <col min="1033" max="1033" width="7.09765625" style="214" bestFit="1" customWidth="1"/>
    <col min="1034" max="1034" width="8.59765625" style="214" bestFit="1" customWidth="1"/>
    <col min="1035" max="1035" width="5" style="214" bestFit="1" customWidth="1"/>
    <col min="1036" max="1036" width="13.5" style="214" bestFit="1" customWidth="1"/>
    <col min="1037" max="1037" width="12" style="214" customWidth="1"/>
    <col min="1038" max="1280" width="8.69921875" style="214"/>
    <col min="1281" max="1281" width="9.796875" style="214" bestFit="1" customWidth="1"/>
    <col min="1282" max="1282" width="8.296875" style="214" bestFit="1" customWidth="1"/>
    <col min="1283" max="1283" width="18.59765625" style="214" customWidth="1"/>
    <col min="1284" max="1284" width="17.09765625" style="214" customWidth="1"/>
    <col min="1285" max="1285" width="14.59765625" style="214" bestFit="1" customWidth="1"/>
    <col min="1286" max="1286" width="8.69921875" style="214"/>
    <col min="1287" max="1287" width="3.796875" style="214" customWidth="1"/>
    <col min="1288" max="1288" width="14.5" style="214" bestFit="1" customWidth="1"/>
    <col min="1289" max="1289" width="7.09765625" style="214" bestFit="1" customWidth="1"/>
    <col min="1290" max="1290" width="8.59765625" style="214" bestFit="1" customWidth="1"/>
    <col min="1291" max="1291" width="5" style="214" bestFit="1" customWidth="1"/>
    <col min="1292" max="1292" width="13.5" style="214" bestFit="1" customWidth="1"/>
    <col min="1293" max="1293" width="12" style="214" customWidth="1"/>
    <col min="1294" max="1536" width="8.69921875" style="214"/>
    <col min="1537" max="1537" width="9.796875" style="214" bestFit="1" customWidth="1"/>
    <col min="1538" max="1538" width="8.296875" style="214" bestFit="1" customWidth="1"/>
    <col min="1539" max="1539" width="18.59765625" style="214" customWidth="1"/>
    <col min="1540" max="1540" width="17.09765625" style="214" customWidth="1"/>
    <col min="1541" max="1541" width="14.59765625" style="214" bestFit="1" customWidth="1"/>
    <col min="1542" max="1542" width="8.69921875" style="214"/>
    <col min="1543" max="1543" width="3.796875" style="214" customWidth="1"/>
    <col min="1544" max="1544" width="14.5" style="214" bestFit="1" customWidth="1"/>
    <col min="1545" max="1545" width="7.09765625" style="214" bestFit="1" customWidth="1"/>
    <col min="1546" max="1546" width="8.59765625" style="214" bestFit="1" customWidth="1"/>
    <col min="1547" max="1547" width="5" style="214" bestFit="1" customWidth="1"/>
    <col min="1548" max="1548" width="13.5" style="214" bestFit="1" customWidth="1"/>
    <col min="1549" max="1549" width="12" style="214" customWidth="1"/>
    <col min="1550" max="1792" width="8.69921875" style="214"/>
    <col min="1793" max="1793" width="9.796875" style="214" bestFit="1" customWidth="1"/>
    <col min="1794" max="1794" width="8.296875" style="214" bestFit="1" customWidth="1"/>
    <col min="1795" max="1795" width="18.59765625" style="214" customWidth="1"/>
    <col min="1796" max="1796" width="17.09765625" style="214" customWidth="1"/>
    <col min="1797" max="1797" width="14.59765625" style="214" bestFit="1" customWidth="1"/>
    <col min="1798" max="1798" width="8.69921875" style="214"/>
    <col min="1799" max="1799" width="3.796875" style="214" customWidth="1"/>
    <col min="1800" max="1800" width="14.5" style="214" bestFit="1" customWidth="1"/>
    <col min="1801" max="1801" width="7.09765625" style="214" bestFit="1" customWidth="1"/>
    <col min="1802" max="1802" width="8.59765625" style="214" bestFit="1" customWidth="1"/>
    <col min="1803" max="1803" width="5" style="214" bestFit="1" customWidth="1"/>
    <col min="1804" max="1804" width="13.5" style="214" bestFit="1" customWidth="1"/>
    <col min="1805" max="1805" width="12" style="214" customWidth="1"/>
    <col min="1806" max="2048" width="8.69921875" style="214"/>
    <col min="2049" max="2049" width="9.796875" style="214" bestFit="1" customWidth="1"/>
    <col min="2050" max="2050" width="8.296875" style="214" bestFit="1" customWidth="1"/>
    <col min="2051" max="2051" width="18.59765625" style="214" customWidth="1"/>
    <col min="2052" max="2052" width="17.09765625" style="214" customWidth="1"/>
    <col min="2053" max="2053" width="14.59765625" style="214" bestFit="1" customWidth="1"/>
    <col min="2054" max="2054" width="8.69921875" style="214"/>
    <col min="2055" max="2055" width="3.796875" style="214" customWidth="1"/>
    <col min="2056" max="2056" width="14.5" style="214" bestFit="1" customWidth="1"/>
    <col min="2057" max="2057" width="7.09765625" style="214" bestFit="1" customWidth="1"/>
    <col min="2058" max="2058" width="8.59765625" style="214" bestFit="1" customWidth="1"/>
    <col min="2059" max="2059" width="5" style="214" bestFit="1" customWidth="1"/>
    <col min="2060" max="2060" width="13.5" style="214" bestFit="1" customWidth="1"/>
    <col min="2061" max="2061" width="12" style="214" customWidth="1"/>
    <col min="2062" max="2304" width="8.69921875" style="214"/>
    <col min="2305" max="2305" width="9.796875" style="214" bestFit="1" customWidth="1"/>
    <col min="2306" max="2306" width="8.296875" style="214" bestFit="1" customWidth="1"/>
    <col min="2307" max="2307" width="18.59765625" style="214" customWidth="1"/>
    <col min="2308" max="2308" width="17.09765625" style="214" customWidth="1"/>
    <col min="2309" max="2309" width="14.59765625" style="214" bestFit="1" customWidth="1"/>
    <col min="2310" max="2310" width="8.69921875" style="214"/>
    <col min="2311" max="2311" width="3.796875" style="214" customWidth="1"/>
    <col min="2312" max="2312" width="14.5" style="214" bestFit="1" customWidth="1"/>
    <col min="2313" max="2313" width="7.09765625" style="214" bestFit="1" customWidth="1"/>
    <col min="2314" max="2314" width="8.59765625" style="214" bestFit="1" customWidth="1"/>
    <col min="2315" max="2315" width="5" style="214" bestFit="1" customWidth="1"/>
    <col min="2316" max="2316" width="13.5" style="214" bestFit="1" customWidth="1"/>
    <col min="2317" max="2317" width="12" style="214" customWidth="1"/>
    <col min="2318" max="2560" width="8.69921875" style="214"/>
    <col min="2561" max="2561" width="9.796875" style="214" bestFit="1" customWidth="1"/>
    <col min="2562" max="2562" width="8.296875" style="214" bestFit="1" customWidth="1"/>
    <col min="2563" max="2563" width="18.59765625" style="214" customWidth="1"/>
    <col min="2564" max="2564" width="17.09765625" style="214" customWidth="1"/>
    <col min="2565" max="2565" width="14.59765625" style="214" bestFit="1" customWidth="1"/>
    <col min="2566" max="2566" width="8.69921875" style="214"/>
    <col min="2567" max="2567" width="3.796875" style="214" customWidth="1"/>
    <col min="2568" max="2568" width="14.5" style="214" bestFit="1" customWidth="1"/>
    <col min="2569" max="2569" width="7.09765625" style="214" bestFit="1" customWidth="1"/>
    <col min="2570" max="2570" width="8.59765625" style="214" bestFit="1" customWidth="1"/>
    <col min="2571" max="2571" width="5" style="214" bestFit="1" customWidth="1"/>
    <col min="2572" max="2572" width="13.5" style="214" bestFit="1" customWidth="1"/>
    <col min="2573" max="2573" width="12" style="214" customWidth="1"/>
    <col min="2574" max="2816" width="8.69921875" style="214"/>
    <col min="2817" max="2817" width="9.796875" style="214" bestFit="1" customWidth="1"/>
    <col min="2818" max="2818" width="8.296875" style="214" bestFit="1" customWidth="1"/>
    <col min="2819" max="2819" width="18.59765625" style="214" customWidth="1"/>
    <col min="2820" max="2820" width="17.09765625" style="214" customWidth="1"/>
    <col min="2821" max="2821" width="14.59765625" style="214" bestFit="1" customWidth="1"/>
    <col min="2822" max="2822" width="8.69921875" style="214"/>
    <col min="2823" max="2823" width="3.796875" style="214" customWidth="1"/>
    <col min="2824" max="2824" width="14.5" style="214" bestFit="1" customWidth="1"/>
    <col min="2825" max="2825" width="7.09765625" style="214" bestFit="1" customWidth="1"/>
    <col min="2826" max="2826" width="8.59765625" style="214" bestFit="1" customWidth="1"/>
    <col min="2827" max="2827" width="5" style="214" bestFit="1" customWidth="1"/>
    <col min="2828" max="2828" width="13.5" style="214" bestFit="1" customWidth="1"/>
    <col min="2829" max="2829" width="12" style="214" customWidth="1"/>
    <col min="2830" max="3072" width="8.69921875" style="214"/>
    <col min="3073" max="3073" width="9.796875" style="214" bestFit="1" customWidth="1"/>
    <col min="3074" max="3074" width="8.296875" style="214" bestFit="1" customWidth="1"/>
    <col min="3075" max="3075" width="18.59765625" style="214" customWidth="1"/>
    <col min="3076" max="3076" width="17.09765625" style="214" customWidth="1"/>
    <col min="3077" max="3077" width="14.59765625" style="214" bestFit="1" customWidth="1"/>
    <col min="3078" max="3078" width="8.69921875" style="214"/>
    <col min="3079" max="3079" width="3.796875" style="214" customWidth="1"/>
    <col min="3080" max="3080" width="14.5" style="214" bestFit="1" customWidth="1"/>
    <col min="3081" max="3081" width="7.09765625" style="214" bestFit="1" customWidth="1"/>
    <col min="3082" max="3082" width="8.59765625" style="214" bestFit="1" customWidth="1"/>
    <col min="3083" max="3083" width="5" style="214" bestFit="1" customWidth="1"/>
    <col min="3084" max="3084" width="13.5" style="214" bestFit="1" customWidth="1"/>
    <col min="3085" max="3085" width="12" style="214" customWidth="1"/>
    <col min="3086" max="3328" width="8.69921875" style="214"/>
    <col min="3329" max="3329" width="9.796875" style="214" bestFit="1" customWidth="1"/>
    <col min="3330" max="3330" width="8.296875" style="214" bestFit="1" customWidth="1"/>
    <col min="3331" max="3331" width="18.59765625" style="214" customWidth="1"/>
    <col min="3332" max="3332" width="17.09765625" style="214" customWidth="1"/>
    <col min="3333" max="3333" width="14.59765625" style="214" bestFit="1" customWidth="1"/>
    <col min="3334" max="3334" width="8.69921875" style="214"/>
    <col min="3335" max="3335" width="3.796875" style="214" customWidth="1"/>
    <col min="3336" max="3336" width="14.5" style="214" bestFit="1" customWidth="1"/>
    <col min="3337" max="3337" width="7.09765625" style="214" bestFit="1" customWidth="1"/>
    <col min="3338" max="3338" width="8.59765625" style="214" bestFit="1" customWidth="1"/>
    <col min="3339" max="3339" width="5" style="214" bestFit="1" customWidth="1"/>
    <col min="3340" max="3340" width="13.5" style="214" bestFit="1" customWidth="1"/>
    <col min="3341" max="3341" width="12" style="214" customWidth="1"/>
    <col min="3342" max="3584" width="8.69921875" style="214"/>
    <col min="3585" max="3585" width="9.796875" style="214" bestFit="1" customWidth="1"/>
    <col min="3586" max="3586" width="8.296875" style="214" bestFit="1" customWidth="1"/>
    <col min="3587" max="3587" width="18.59765625" style="214" customWidth="1"/>
    <col min="3588" max="3588" width="17.09765625" style="214" customWidth="1"/>
    <col min="3589" max="3589" width="14.59765625" style="214" bestFit="1" customWidth="1"/>
    <col min="3590" max="3590" width="8.69921875" style="214"/>
    <col min="3591" max="3591" width="3.796875" style="214" customWidth="1"/>
    <col min="3592" max="3592" width="14.5" style="214" bestFit="1" customWidth="1"/>
    <col min="3593" max="3593" width="7.09765625" style="214" bestFit="1" customWidth="1"/>
    <col min="3594" max="3594" width="8.59765625" style="214" bestFit="1" customWidth="1"/>
    <col min="3595" max="3595" width="5" style="214" bestFit="1" customWidth="1"/>
    <col min="3596" max="3596" width="13.5" style="214" bestFit="1" customWidth="1"/>
    <col min="3597" max="3597" width="12" style="214" customWidth="1"/>
    <col min="3598" max="3840" width="8.69921875" style="214"/>
    <col min="3841" max="3841" width="9.796875" style="214" bestFit="1" customWidth="1"/>
    <col min="3842" max="3842" width="8.296875" style="214" bestFit="1" customWidth="1"/>
    <col min="3843" max="3843" width="18.59765625" style="214" customWidth="1"/>
    <col min="3844" max="3844" width="17.09765625" style="214" customWidth="1"/>
    <col min="3845" max="3845" width="14.59765625" style="214" bestFit="1" customWidth="1"/>
    <col min="3846" max="3846" width="8.69921875" style="214"/>
    <col min="3847" max="3847" width="3.796875" style="214" customWidth="1"/>
    <col min="3848" max="3848" width="14.5" style="214" bestFit="1" customWidth="1"/>
    <col min="3849" max="3849" width="7.09765625" style="214" bestFit="1" customWidth="1"/>
    <col min="3850" max="3850" width="8.59765625" style="214" bestFit="1" customWidth="1"/>
    <col min="3851" max="3851" width="5" style="214" bestFit="1" customWidth="1"/>
    <col min="3852" max="3852" width="13.5" style="214" bestFit="1" customWidth="1"/>
    <col min="3853" max="3853" width="12" style="214" customWidth="1"/>
    <col min="3854" max="4096" width="8.69921875" style="214"/>
    <col min="4097" max="4097" width="9.796875" style="214" bestFit="1" customWidth="1"/>
    <col min="4098" max="4098" width="8.296875" style="214" bestFit="1" customWidth="1"/>
    <col min="4099" max="4099" width="18.59765625" style="214" customWidth="1"/>
    <col min="4100" max="4100" width="17.09765625" style="214" customWidth="1"/>
    <col min="4101" max="4101" width="14.59765625" style="214" bestFit="1" customWidth="1"/>
    <col min="4102" max="4102" width="8.69921875" style="214"/>
    <col min="4103" max="4103" width="3.796875" style="214" customWidth="1"/>
    <col min="4104" max="4104" width="14.5" style="214" bestFit="1" customWidth="1"/>
    <col min="4105" max="4105" width="7.09765625" style="214" bestFit="1" customWidth="1"/>
    <col min="4106" max="4106" width="8.59765625" style="214" bestFit="1" customWidth="1"/>
    <col min="4107" max="4107" width="5" style="214" bestFit="1" customWidth="1"/>
    <col min="4108" max="4108" width="13.5" style="214" bestFit="1" customWidth="1"/>
    <col min="4109" max="4109" width="12" style="214" customWidth="1"/>
    <col min="4110" max="4352" width="8.69921875" style="214"/>
    <col min="4353" max="4353" width="9.796875" style="214" bestFit="1" customWidth="1"/>
    <col min="4354" max="4354" width="8.296875" style="214" bestFit="1" customWidth="1"/>
    <col min="4355" max="4355" width="18.59765625" style="214" customWidth="1"/>
    <col min="4356" max="4356" width="17.09765625" style="214" customWidth="1"/>
    <col min="4357" max="4357" width="14.59765625" style="214" bestFit="1" customWidth="1"/>
    <col min="4358" max="4358" width="8.69921875" style="214"/>
    <col min="4359" max="4359" width="3.796875" style="214" customWidth="1"/>
    <col min="4360" max="4360" width="14.5" style="214" bestFit="1" customWidth="1"/>
    <col min="4361" max="4361" width="7.09765625" style="214" bestFit="1" customWidth="1"/>
    <col min="4362" max="4362" width="8.59765625" style="214" bestFit="1" customWidth="1"/>
    <col min="4363" max="4363" width="5" style="214" bestFit="1" customWidth="1"/>
    <col min="4364" max="4364" width="13.5" style="214" bestFit="1" customWidth="1"/>
    <col min="4365" max="4365" width="12" style="214" customWidth="1"/>
    <col min="4366" max="4608" width="8.69921875" style="214"/>
    <col min="4609" max="4609" width="9.796875" style="214" bestFit="1" customWidth="1"/>
    <col min="4610" max="4610" width="8.296875" style="214" bestFit="1" customWidth="1"/>
    <col min="4611" max="4611" width="18.59765625" style="214" customWidth="1"/>
    <col min="4612" max="4612" width="17.09765625" style="214" customWidth="1"/>
    <col min="4613" max="4613" width="14.59765625" style="214" bestFit="1" customWidth="1"/>
    <col min="4614" max="4614" width="8.69921875" style="214"/>
    <col min="4615" max="4615" width="3.796875" style="214" customWidth="1"/>
    <col min="4616" max="4616" width="14.5" style="214" bestFit="1" customWidth="1"/>
    <col min="4617" max="4617" width="7.09765625" style="214" bestFit="1" customWidth="1"/>
    <col min="4618" max="4618" width="8.59765625" style="214" bestFit="1" customWidth="1"/>
    <col min="4619" max="4619" width="5" style="214" bestFit="1" customWidth="1"/>
    <col min="4620" max="4620" width="13.5" style="214" bestFit="1" customWidth="1"/>
    <col min="4621" max="4621" width="12" style="214" customWidth="1"/>
    <col min="4622" max="4864" width="8.69921875" style="214"/>
    <col min="4865" max="4865" width="9.796875" style="214" bestFit="1" customWidth="1"/>
    <col min="4866" max="4866" width="8.296875" style="214" bestFit="1" customWidth="1"/>
    <col min="4867" max="4867" width="18.59765625" style="214" customWidth="1"/>
    <col min="4868" max="4868" width="17.09765625" style="214" customWidth="1"/>
    <col min="4869" max="4869" width="14.59765625" style="214" bestFit="1" customWidth="1"/>
    <col min="4870" max="4870" width="8.69921875" style="214"/>
    <col min="4871" max="4871" width="3.796875" style="214" customWidth="1"/>
    <col min="4872" max="4872" width="14.5" style="214" bestFit="1" customWidth="1"/>
    <col min="4873" max="4873" width="7.09765625" style="214" bestFit="1" customWidth="1"/>
    <col min="4874" max="4874" width="8.59765625" style="214" bestFit="1" customWidth="1"/>
    <col min="4875" max="4875" width="5" style="214" bestFit="1" customWidth="1"/>
    <col min="4876" max="4876" width="13.5" style="214" bestFit="1" customWidth="1"/>
    <col min="4877" max="4877" width="12" style="214" customWidth="1"/>
    <col min="4878" max="5120" width="8.69921875" style="214"/>
    <col min="5121" max="5121" width="9.796875" style="214" bestFit="1" customWidth="1"/>
    <col min="5122" max="5122" width="8.296875" style="214" bestFit="1" customWidth="1"/>
    <col min="5123" max="5123" width="18.59765625" style="214" customWidth="1"/>
    <col min="5124" max="5124" width="17.09765625" style="214" customWidth="1"/>
    <col min="5125" max="5125" width="14.59765625" style="214" bestFit="1" customWidth="1"/>
    <col min="5126" max="5126" width="8.69921875" style="214"/>
    <col min="5127" max="5127" width="3.796875" style="214" customWidth="1"/>
    <col min="5128" max="5128" width="14.5" style="214" bestFit="1" customWidth="1"/>
    <col min="5129" max="5129" width="7.09765625" style="214" bestFit="1" customWidth="1"/>
    <col min="5130" max="5130" width="8.59765625" style="214" bestFit="1" customWidth="1"/>
    <col min="5131" max="5131" width="5" style="214" bestFit="1" customWidth="1"/>
    <col min="5132" max="5132" width="13.5" style="214" bestFit="1" customWidth="1"/>
    <col min="5133" max="5133" width="12" style="214" customWidth="1"/>
    <col min="5134" max="5376" width="8.69921875" style="214"/>
    <col min="5377" max="5377" width="9.796875" style="214" bestFit="1" customWidth="1"/>
    <col min="5378" max="5378" width="8.296875" style="214" bestFit="1" customWidth="1"/>
    <col min="5379" max="5379" width="18.59765625" style="214" customWidth="1"/>
    <col min="5380" max="5380" width="17.09765625" style="214" customWidth="1"/>
    <col min="5381" max="5381" width="14.59765625" style="214" bestFit="1" customWidth="1"/>
    <col min="5382" max="5382" width="8.69921875" style="214"/>
    <col min="5383" max="5383" width="3.796875" style="214" customWidth="1"/>
    <col min="5384" max="5384" width="14.5" style="214" bestFit="1" customWidth="1"/>
    <col min="5385" max="5385" width="7.09765625" style="214" bestFit="1" customWidth="1"/>
    <col min="5386" max="5386" width="8.59765625" style="214" bestFit="1" customWidth="1"/>
    <col min="5387" max="5387" width="5" style="214" bestFit="1" customWidth="1"/>
    <col min="5388" max="5388" width="13.5" style="214" bestFit="1" customWidth="1"/>
    <col min="5389" max="5389" width="12" style="214" customWidth="1"/>
    <col min="5390" max="5632" width="8.69921875" style="214"/>
    <col min="5633" max="5633" width="9.796875" style="214" bestFit="1" customWidth="1"/>
    <col min="5634" max="5634" width="8.296875" style="214" bestFit="1" customWidth="1"/>
    <col min="5635" max="5635" width="18.59765625" style="214" customWidth="1"/>
    <col min="5636" max="5636" width="17.09765625" style="214" customWidth="1"/>
    <col min="5637" max="5637" width="14.59765625" style="214" bestFit="1" customWidth="1"/>
    <col min="5638" max="5638" width="8.69921875" style="214"/>
    <col min="5639" max="5639" width="3.796875" style="214" customWidth="1"/>
    <col min="5640" max="5640" width="14.5" style="214" bestFit="1" customWidth="1"/>
    <col min="5641" max="5641" width="7.09765625" style="214" bestFit="1" customWidth="1"/>
    <col min="5642" max="5642" width="8.59765625" style="214" bestFit="1" customWidth="1"/>
    <col min="5643" max="5643" width="5" style="214" bestFit="1" customWidth="1"/>
    <col min="5644" max="5644" width="13.5" style="214" bestFit="1" customWidth="1"/>
    <col min="5645" max="5645" width="12" style="214" customWidth="1"/>
    <col min="5646" max="5888" width="8.69921875" style="214"/>
    <col min="5889" max="5889" width="9.796875" style="214" bestFit="1" customWidth="1"/>
    <col min="5890" max="5890" width="8.296875" style="214" bestFit="1" customWidth="1"/>
    <col min="5891" max="5891" width="18.59765625" style="214" customWidth="1"/>
    <col min="5892" max="5892" width="17.09765625" style="214" customWidth="1"/>
    <col min="5893" max="5893" width="14.59765625" style="214" bestFit="1" customWidth="1"/>
    <col min="5894" max="5894" width="8.69921875" style="214"/>
    <col min="5895" max="5895" width="3.796875" style="214" customWidth="1"/>
    <col min="5896" max="5896" width="14.5" style="214" bestFit="1" customWidth="1"/>
    <col min="5897" max="5897" width="7.09765625" style="214" bestFit="1" customWidth="1"/>
    <col min="5898" max="5898" width="8.59765625" style="214" bestFit="1" customWidth="1"/>
    <col min="5899" max="5899" width="5" style="214" bestFit="1" customWidth="1"/>
    <col min="5900" max="5900" width="13.5" style="214" bestFit="1" customWidth="1"/>
    <col min="5901" max="5901" width="12" style="214" customWidth="1"/>
    <col min="5902" max="6144" width="8.69921875" style="214"/>
    <col min="6145" max="6145" width="9.796875" style="214" bestFit="1" customWidth="1"/>
    <col min="6146" max="6146" width="8.296875" style="214" bestFit="1" customWidth="1"/>
    <col min="6147" max="6147" width="18.59765625" style="214" customWidth="1"/>
    <col min="6148" max="6148" width="17.09765625" style="214" customWidth="1"/>
    <col min="6149" max="6149" width="14.59765625" style="214" bestFit="1" customWidth="1"/>
    <col min="6150" max="6150" width="8.69921875" style="214"/>
    <col min="6151" max="6151" width="3.796875" style="214" customWidth="1"/>
    <col min="6152" max="6152" width="14.5" style="214" bestFit="1" customWidth="1"/>
    <col min="6153" max="6153" width="7.09765625" style="214" bestFit="1" customWidth="1"/>
    <col min="6154" max="6154" width="8.59765625" style="214" bestFit="1" customWidth="1"/>
    <col min="6155" max="6155" width="5" style="214" bestFit="1" customWidth="1"/>
    <col min="6156" max="6156" width="13.5" style="214" bestFit="1" customWidth="1"/>
    <col min="6157" max="6157" width="12" style="214" customWidth="1"/>
    <col min="6158" max="6400" width="8.69921875" style="214"/>
    <col min="6401" max="6401" width="9.796875" style="214" bestFit="1" customWidth="1"/>
    <col min="6402" max="6402" width="8.296875" style="214" bestFit="1" customWidth="1"/>
    <col min="6403" max="6403" width="18.59765625" style="214" customWidth="1"/>
    <col min="6404" max="6404" width="17.09765625" style="214" customWidth="1"/>
    <col min="6405" max="6405" width="14.59765625" style="214" bestFit="1" customWidth="1"/>
    <col min="6406" max="6406" width="8.69921875" style="214"/>
    <col min="6407" max="6407" width="3.796875" style="214" customWidth="1"/>
    <col min="6408" max="6408" width="14.5" style="214" bestFit="1" customWidth="1"/>
    <col min="6409" max="6409" width="7.09765625" style="214" bestFit="1" customWidth="1"/>
    <col min="6410" max="6410" width="8.59765625" style="214" bestFit="1" customWidth="1"/>
    <col min="6411" max="6411" width="5" style="214" bestFit="1" customWidth="1"/>
    <col min="6412" max="6412" width="13.5" style="214" bestFit="1" customWidth="1"/>
    <col min="6413" max="6413" width="12" style="214" customWidth="1"/>
    <col min="6414" max="6656" width="8.69921875" style="214"/>
    <col min="6657" max="6657" width="9.796875" style="214" bestFit="1" customWidth="1"/>
    <col min="6658" max="6658" width="8.296875" style="214" bestFit="1" customWidth="1"/>
    <col min="6659" max="6659" width="18.59765625" style="214" customWidth="1"/>
    <col min="6660" max="6660" width="17.09765625" style="214" customWidth="1"/>
    <col min="6661" max="6661" width="14.59765625" style="214" bestFit="1" customWidth="1"/>
    <col min="6662" max="6662" width="8.69921875" style="214"/>
    <col min="6663" max="6663" width="3.796875" style="214" customWidth="1"/>
    <col min="6664" max="6664" width="14.5" style="214" bestFit="1" customWidth="1"/>
    <col min="6665" max="6665" width="7.09765625" style="214" bestFit="1" customWidth="1"/>
    <col min="6666" max="6666" width="8.59765625" style="214" bestFit="1" customWidth="1"/>
    <col min="6667" max="6667" width="5" style="214" bestFit="1" customWidth="1"/>
    <col min="6668" max="6668" width="13.5" style="214" bestFit="1" customWidth="1"/>
    <col min="6669" max="6669" width="12" style="214" customWidth="1"/>
    <col min="6670" max="6912" width="8.69921875" style="214"/>
    <col min="6913" max="6913" width="9.796875" style="214" bestFit="1" customWidth="1"/>
    <col min="6914" max="6914" width="8.296875" style="214" bestFit="1" customWidth="1"/>
    <col min="6915" max="6915" width="18.59765625" style="214" customWidth="1"/>
    <col min="6916" max="6916" width="17.09765625" style="214" customWidth="1"/>
    <col min="6917" max="6917" width="14.59765625" style="214" bestFit="1" customWidth="1"/>
    <col min="6918" max="6918" width="8.69921875" style="214"/>
    <col min="6919" max="6919" width="3.796875" style="214" customWidth="1"/>
    <col min="6920" max="6920" width="14.5" style="214" bestFit="1" customWidth="1"/>
    <col min="6921" max="6921" width="7.09765625" style="214" bestFit="1" customWidth="1"/>
    <col min="6922" max="6922" width="8.59765625" style="214" bestFit="1" customWidth="1"/>
    <col min="6923" max="6923" width="5" style="214" bestFit="1" customWidth="1"/>
    <col min="6924" max="6924" width="13.5" style="214" bestFit="1" customWidth="1"/>
    <col min="6925" max="6925" width="12" style="214" customWidth="1"/>
    <col min="6926" max="7168" width="8.69921875" style="214"/>
    <col min="7169" max="7169" width="9.796875" style="214" bestFit="1" customWidth="1"/>
    <col min="7170" max="7170" width="8.296875" style="214" bestFit="1" customWidth="1"/>
    <col min="7171" max="7171" width="18.59765625" style="214" customWidth="1"/>
    <col min="7172" max="7172" width="17.09765625" style="214" customWidth="1"/>
    <col min="7173" max="7173" width="14.59765625" style="214" bestFit="1" customWidth="1"/>
    <col min="7174" max="7174" width="8.69921875" style="214"/>
    <col min="7175" max="7175" width="3.796875" style="214" customWidth="1"/>
    <col min="7176" max="7176" width="14.5" style="214" bestFit="1" customWidth="1"/>
    <col min="7177" max="7177" width="7.09765625" style="214" bestFit="1" customWidth="1"/>
    <col min="7178" max="7178" width="8.59765625" style="214" bestFit="1" customWidth="1"/>
    <col min="7179" max="7179" width="5" style="214" bestFit="1" customWidth="1"/>
    <col min="7180" max="7180" width="13.5" style="214" bestFit="1" customWidth="1"/>
    <col min="7181" max="7181" width="12" style="214" customWidth="1"/>
    <col min="7182" max="7424" width="8.69921875" style="214"/>
    <col min="7425" max="7425" width="9.796875" style="214" bestFit="1" customWidth="1"/>
    <col min="7426" max="7426" width="8.296875" style="214" bestFit="1" customWidth="1"/>
    <col min="7427" max="7427" width="18.59765625" style="214" customWidth="1"/>
    <col min="7428" max="7428" width="17.09765625" style="214" customWidth="1"/>
    <col min="7429" max="7429" width="14.59765625" style="214" bestFit="1" customWidth="1"/>
    <col min="7430" max="7430" width="8.69921875" style="214"/>
    <col min="7431" max="7431" width="3.796875" style="214" customWidth="1"/>
    <col min="7432" max="7432" width="14.5" style="214" bestFit="1" customWidth="1"/>
    <col min="7433" max="7433" width="7.09765625" style="214" bestFit="1" customWidth="1"/>
    <col min="7434" max="7434" width="8.59765625" style="214" bestFit="1" customWidth="1"/>
    <col min="7435" max="7435" width="5" style="214" bestFit="1" customWidth="1"/>
    <col min="7436" max="7436" width="13.5" style="214" bestFit="1" customWidth="1"/>
    <col min="7437" max="7437" width="12" style="214" customWidth="1"/>
    <col min="7438" max="7680" width="8.69921875" style="214"/>
    <col min="7681" max="7681" width="9.796875" style="214" bestFit="1" customWidth="1"/>
    <col min="7682" max="7682" width="8.296875" style="214" bestFit="1" customWidth="1"/>
    <col min="7683" max="7683" width="18.59765625" style="214" customWidth="1"/>
    <col min="7684" max="7684" width="17.09765625" style="214" customWidth="1"/>
    <col min="7685" max="7685" width="14.59765625" style="214" bestFit="1" customWidth="1"/>
    <col min="7686" max="7686" width="8.69921875" style="214"/>
    <col min="7687" max="7687" width="3.796875" style="214" customWidth="1"/>
    <col min="7688" max="7688" width="14.5" style="214" bestFit="1" customWidth="1"/>
    <col min="7689" max="7689" width="7.09765625" style="214" bestFit="1" customWidth="1"/>
    <col min="7690" max="7690" width="8.59765625" style="214" bestFit="1" customWidth="1"/>
    <col min="7691" max="7691" width="5" style="214" bestFit="1" customWidth="1"/>
    <col min="7692" max="7692" width="13.5" style="214" bestFit="1" customWidth="1"/>
    <col min="7693" max="7693" width="12" style="214" customWidth="1"/>
    <col min="7694" max="7936" width="8.69921875" style="214"/>
    <col min="7937" max="7937" width="9.796875" style="214" bestFit="1" customWidth="1"/>
    <col min="7938" max="7938" width="8.296875" style="214" bestFit="1" customWidth="1"/>
    <col min="7939" max="7939" width="18.59765625" style="214" customWidth="1"/>
    <col min="7940" max="7940" width="17.09765625" style="214" customWidth="1"/>
    <col min="7941" max="7941" width="14.59765625" style="214" bestFit="1" customWidth="1"/>
    <col min="7942" max="7942" width="8.69921875" style="214"/>
    <col min="7943" max="7943" width="3.796875" style="214" customWidth="1"/>
    <col min="7944" max="7944" width="14.5" style="214" bestFit="1" customWidth="1"/>
    <col min="7945" max="7945" width="7.09765625" style="214" bestFit="1" customWidth="1"/>
    <col min="7946" max="7946" width="8.59765625" style="214" bestFit="1" customWidth="1"/>
    <col min="7947" max="7947" width="5" style="214" bestFit="1" customWidth="1"/>
    <col min="7948" max="7948" width="13.5" style="214" bestFit="1" customWidth="1"/>
    <col min="7949" max="7949" width="12" style="214" customWidth="1"/>
    <col min="7950" max="8192" width="8.69921875" style="214"/>
    <col min="8193" max="8193" width="9.796875" style="214" bestFit="1" customWidth="1"/>
    <col min="8194" max="8194" width="8.296875" style="214" bestFit="1" customWidth="1"/>
    <col min="8195" max="8195" width="18.59765625" style="214" customWidth="1"/>
    <col min="8196" max="8196" width="17.09765625" style="214" customWidth="1"/>
    <col min="8197" max="8197" width="14.59765625" style="214" bestFit="1" customWidth="1"/>
    <col min="8198" max="8198" width="8.69921875" style="214"/>
    <col min="8199" max="8199" width="3.796875" style="214" customWidth="1"/>
    <col min="8200" max="8200" width="14.5" style="214" bestFit="1" customWidth="1"/>
    <col min="8201" max="8201" width="7.09765625" style="214" bestFit="1" customWidth="1"/>
    <col min="8202" max="8202" width="8.59765625" style="214" bestFit="1" customWidth="1"/>
    <col min="8203" max="8203" width="5" style="214" bestFit="1" customWidth="1"/>
    <col min="8204" max="8204" width="13.5" style="214" bestFit="1" customWidth="1"/>
    <col min="8205" max="8205" width="12" style="214" customWidth="1"/>
    <col min="8206" max="8448" width="8.69921875" style="214"/>
    <col min="8449" max="8449" width="9.796875" style="214" bestFit="1" customWidth="1"/>
    <col min="8450" max="8450" width="8.296875" style="214" bestFit="1" customWidth="1"/>
    <col min="8451" max="8451" width="18.59765625" style="214" customWidth="1"/>
    <col min="8452" max="8452" width="17.09765625" style="214" customWidth="1"/>
    <col min="8453" max="8453" width="14.59765625" style="214" bestFit="1" customWidth="1"/>
    <col min="8454" max="8454" width="8.69921875" style="214"/>
    <col min="8455" max="8455" width="3.796875" style="214" customWidth="1"/>
    <col min="8456" max="8456" width="14.5" style="214" bestFit="1" customWidth="1"/>
    <col min="8457" max="8457" width="7.09765625" style="214" bestFit="1" customWidth="1"/>
    <col min="8458" max="8458" width="8.59765625" style="214" bestFit="1" customWidth="1"/>
    <col min="8459" max="8459" width="5" style="214" bestFit="1" customWidth="1"/>
    <col min="8460" max="8460" width="13.5" style="214" bestFit="1" customWidth="1"/>
    <col min="8461" max="8461" width="12" style="214" customWidth="1"/>
    <col min="8462" max="8704" width="8.69921875" style="214"/>
    <col min="8705" max="8705" width="9.796875" style="214" bestFit="1" customWidth="1"/>
    <col min="8706" max="8706" width="8.296875" style="214" bestFit="1" customWidth="1"/>
    <col min="8707" max="8707" width="18.59765625" style="214" customWidth="1"/>
    <col min="8708" max="8708" width="17.09765625" style="214" customWidth="1"/>
    <col min="8709" max="8709" width="14.59765625" style="214" bestFit="1" customWidth="1"/>
    <col min="8710" max="8710" width="8.69921875" style="214"/>
    <col min="8711" max="8711" width="3.796875" style="214" customWidth="1"/>
    <col min="8712" max="8712" width="14.5" style="214" bestFit="1" customWidth="1"/>
    <col min="8713" max="8713" width="7.09765625" style="214" bestFit="1" customWidth="1"/>
    <col min="8714" max="8714" width="8.59765625" style="214" bestFit="1" customWidth="1"/>
    <col min="8715" max="8715" width="5" style="214" bestFit="1" customWidth="1"/>
    <col min="8716" max="8716" width="13.5" style="214" bestFit="1" customWidth="1"/>
    <col min="8717" max="8717" width="12" style="214" customWidth="1"/>
    <col min="8718" max="8960" width="8.69921875" style="214"/>
    <col min="8961" max="8961" width="9.796875" style="214" bestFit="1" customWidth="1"/>
    <col min="8962" max="8962" width="8.296875" style="214" bestFit="1" customWidth="1"/>
    <col min="8963" max="8963" width="18.59765625" style="214" customWidth="1"/>
    <col min="8964" max="8964" width="17.09765625" style="214" customWidth="1"/>
    <col min="8965" max="8965" width="14.59765625" style="214" bestFit="1" customWidth="1"/>
    <col min="8966" max="8966" width="8.69921875" style="214"/>
    <col min="8967" max="8967" width="3.796875" style="214" customWidth="1"/>
    <col min="8968" max="8968" width="14.5" style="214" bestFit="1" customWidth="1"/>
    <col min="8969" max="8969" width="7.09765625" style="214" bestFit="1" customWidth="1"/>
    <col min="8970" max="8970" width="8.59765625" style="214" bestFit="1" customWidth="1"/>
    <col min="8971" max="8971" width="5" style="214" bestFit="1" customWidth="1"/>
    <col min="8972" max="8972" width="13.5" style="214" bestFit="1" customWidth="1"/>
    <col min="8973" max="8973" width="12" style="214" customWidth="1"/>
    <col min="8974" max="9216" width="8.69921875" style="214"/>
    <col min="9217" max="9217" width="9.796875" style="214" bestFit="1" customWidth="1"/>
    <col min="9218" max="9218" width="8.296875" style="214" bestFit="1" customWidth="1"/>
    <col min="9219" max="9219" width="18.59765625" style="214" customWidth="1"/>
    <col min="9220" max="9220" width="17.09765625" style="214" customWidth="1"/>
    <col min="9221" max="9221" width="14.59765625" style="214" bestFit="1" customWidth="1"/>
    <col min="9222" max="9222" width="8.69921875" style="214"/>
    <col min="9223" max="9223" width="3.796875" style="214" customWidth="1"/>
    <col min="9224" max="9224" width="14.5" style="214" bestFit="1" customWidth="1"/>
    <col min="9225" max="9225" width="7.09765625" style="214" bestFit="1" customWidth="1"/>
    <col min="9226" max="9226" width="8.59765625" style="214" bestFit="1" customWidth="1"/>
    <col min="9227" max="9227" width="5" style="214" bestFit="1" customWidth="1"/>
    <col min="9228" max="9228" width="13.5" style="214" bestFit="1" customWidth="1"/>
    <col min="9229" max="9229" width="12" style="214" customWidth="1"/>
    <col min="9230" max="9472" width="8.69921875" style="214"/>
    <col min="9473" max="9473" width="9.796875" style="214" bestFit="1" customWidth="1"/>
    <col min="9474" max="9474" width="8.296875" style="214" bestFit="1" customWidth="1"/>
    <col min="9475" max="9475" width="18.59765625" style="214" customWidth="1"/>
    <col min="9476" max="9476" width="17.09765625" style="214" customWidth="1"/>
    <col min="9477" max="9477" width="14.59765625" style="214" bestFit="1" customWidth="1"/>
    <col min="9478" max="9478" width="8.69921875" style="214"/>
    <col min="9479" max="9479" width="3.796875" style="214" customWidth="1"/>
    <col min="9480" max="9480" width="14.5" style="214" bestFit="1" customWidth="1"/>
    <col min="9481" max="9481" width="7.09765625" style="214" bestFit="1" customWidth="1"/>
    <col min="9482" max="9482" width="8.59765625" style="214" bestFit="1" customWidth="1"/>
    <col min="9483" max="9483" width="5" style="214" bestFit="1" customWidth="1"/>
    <col min="9484" max="9484" width="13.5" style="214" bestFit="1" customWidth="1"/>
    <col min="9485" max="9485" width="12" style="214" customWidth="1"/>
    <col min="9486" max="9728" width="8.69921875" style="214"/>
    <col min="9729" max="9729" width="9.796875" style="214" bestFit="1" customWidth="1"/>
    <col min="9730" max="9730" width="8.296875" style="214" bestFit="1" customWidth="1"/>
    <col min="9731" max="9731" width="18.59765625" style="214" customWidth="1"/>
    <col min="9732" max="9732" width="17.09765625" style="214" customWidth="1"/>
    <col min="9733" max="9733" width="14.59765625" style="214" bestFit="1" customWidth="1"/>
    <col min="9734" max="9734" width="8.69921875" style="214"/>
    <col min="9735" max="9735" width="3.796875" style="214" customWidth="1"/>
    <col min="9736" max="9736" width="14.5" style="214" bestFit="1" customWidth="1"/>
    <col min="9737" max="9737" width="7.09765625" style="214" bestFit="1" customWidth="1"/>
    <col min="9738" max="9738" width="8.59765625" style="214" bestFit="1" customWidth="1"/>
    <col min="9739" max="9739" width="5" style="214" bestFit="1" customWidth="1"/>
    <col min="9740" max="9740" width="13.5" style="214" bestFit="1" customWidth="1"/>
    <col min="9741" max="9741" width="12" style="214" customWidth="1"/>
    <col min="9742" max="9984" width="8.69921875" style="214"/>
    <col min="9985" max="9985" width="9.796875" style="214" bestFit="1" customWidth="1"/>
    <col min="9986" max="9986" width="8.296875" style="214" bestFit="1" customWidth="1"/>
    <col min="9987" max="9987" width="18.59765625" style="214" customWidth="1"/>
    <col min="9988" max="9988" width="17.09765625" style="214" customWidth="1"/>
    <col min="9989" max="9989" width="14.59765625" style="214" bestFit="1" customWidth="1"/>
    <col min="9990" max="9990" width="8.69921875" style="214"/>
    <col min="9991" max="9991" width="3.796875" style="214" customWidth="1"/>
    <col min="9992" max="9992" width="14.5" style="214" bestFit="1" customWidth="1"/>
    <col min="9993" max="9993" width="7.09765625" style="214" bestFit="1" customWidth="1"/>
    <col min="9994" max="9994" width="8.59765625" style="214" bestFit="1" customWidth="1"/>
    <col min="9995" max="9995" width="5" style="214" bestFit="1" customWidth="1"/>
    <col min="9996" max="9996" width="13.5" style="214" bestFit="1" customWidth="1"/>
    <col min="9997" max="9997" width="12" style="214" customWidth="1"/>
    <col min="9998" max="10240" width="8.69921875" style="214"/>
    <col min="10241" max="10241" width="9.796875" style="214" bestFit="1" customWidth="1"/>
    <col min="10242" max="10242" width="8.296875" style="214" bestFit="1" customWidth="1"/>
    <col min="10243" max="10243" width="18.59765625" style="214" customWidth="1"/>
    <col min="10244" max="10244" width="17.09765625" style="214" customWidth="1"/>
    <col min="10245" max="10245" width="14.59765625" style="214" bestFit="1" customWidth="1"/>
    <col min="10246" max="10246" width="8.69921875" style="214"/>
    <col min="10247" max="10247" width="3.796875" style="214" customWidth="1"/>
    <col min="10248" max="10248" width="14.5" style="214" bestFit="1" customWidth="1"/>
    <col min="10249" max="10249" width="7.09765625" style="214" bestFit="1" customWidth="1"/>
    <col min="10250" max="10250" width="8.59765625" style="214" bestFit="1" customWidth="1"/>
    <col min="10251" max="10251" width="5" style="214" bestFit="1" customWidth="1"/>
    <col min="10252" max="10252" width="13.5" style="214" bestFit="1" customWidth="1"/>
    <col min="10253" max="10253" width="12" style="214" customWidth="1"/>
    <col min="10254" max="10496" width="8.69921875" style="214"/>
    <col min="10497" max="10497" width="9.796875" style="214" bestFit="1" customWidth="1"/>
    <col min="10498" max="10498" width="8.296875" style="214" bestFit="1" customWidth="1"/>
    <col min="10499" max="10499" width="18.59765625" style="214" customWidth="1"/>
    <col min="10500" max="10500" width="17.09765625" style="214" customWidth="1"/>
    <col min="10501" max="10501" width="14.59765625" style="214" bestFit="1" customWidth="1"/>
    <col min="10502" max="10502" width="8.69921875" style="214"/>
    <col min="10503" max="10503" width="3.796875" style="214" customWidth="1"/>
    <col min="10504" max="10504" width="14.5" style="214" bestFit="1" customWidth="1"/>
    <col min="10505" max="10505" width="7.09765625" style="214" bestFit="1" customWidth="1"/>
    <col min="10506" max="10506" width="8.59765625" style="214" bestFit="1" customWidth="1"/>
    <col min="10507" max="10507" width="5" style="214" bestFit="1" customWidth="1"/>
    <col min="10508" max="10508" width="13.5" style="214" bestFit="1" customWidth="1"/>
    <col min="10509" max="10509" width="12" style="214" customWidth="1"/>
    <col min="10510" max="10752" width="8.69921875" style="214"/>
    <col min="10753" max="10753" width="9.796875" style="214" bestFit="1" customWidth="1"/>
    <col min="10754" max="10754" width="8.296875" style="214" bestFit="1" customWidth="1"/>
    <col min="10755" max="10755" width="18.59765625" style="214" customWidth="1"/>
    <col min="10756" max="10756" width="17.09765625" style="214" customWidth="1"/>
    <col min="10757" max="10757" width="14.59765625" style="214" bestFit="1" customWidth="1"/>
    <col min="10758" max="10758" width="8.69921875" style="214"/>
    <col min="10759" max="10759" width="3.796875" style="214" customWidth="1"/>
    <col min="10760" max="10760" width="14.5" style="214" bestFit="1" customWidth="1"/>
    <col min="10761" max="10761" width="7.09765625" style="214" bestFit="1" customWidth="1"/>
    <col min="10762" max="10762" width="8.59765625" style="214" bestFit="1" customWidth="1"/>
    <col min="10763" max="10763" width="5" style="214" bestFit="1" customWidth="1"/>
    <col min="10764" max="10764" width="13.5" style="214" bestFit="1" customWidth="1"/>
    <col min="10765" max="10765" width="12" style="214" customWidth="1"/>
    <col min="10766" max="11008" width="8.69921875" style="214"/>
    <col min="11009" max="11009" width="9.796875" style="214" bestFit="1" customWidth="1"/>
    <col min="11010" max="11010" width="8.296875" style="214" bestFit="1" customWidth="1"/>
    <col min="11011" max="11011" width="18.59765625" style="214" customWidth="1"/>
    <col min="11012" max="11012" width="17.09765625" style="214" customWidth="1"/>
    <col min="11013" max="11013" width="14.59765625" style="214" bestFit="1" customWidth="1"/>
    <col min="11014" max="11014" width="8.69921875" style="214"/>
    <col min="11015" max="11015" width="3.796875" style="214" customWidth="1"/>
    <col min="11016" max="11016" width="14.5" style="214" bestFit="1" customWidth="1"/>
    <col min="11017" max="11017" width="7.09765625" style="214" bestFit="1" customWidth="1"/>
    <col min="11018" max="11018" width="8.59765625" style="214" bestFit="1" customWidth="1"/>
    <col min="11019" max="11019" width="5" style="214" bestFit="1" customWidth="1"/>
    <col min="11020" max="11020" width="13.5" style="214" bestFit="1" customWidth="1"/>
    <col min="11021" max="11021" width="12" style="214" customWidth="1"/>
    <col min="11022" max="11264" width="8.69921875" style="214"/>
    <col min="11265" max="11265" width="9.796875" style="214" bestFit="1" customWidth="1"/>
    <col min="11266" max="11266" width="8.296875" style="214" bestFit="1" customWidth="1"/>
    <col min="11267" max="11267" width="18.59765625" style="214" customWidth="1"/>
    <col min="11268" max="11268" width="17.09765625" style="214" customWidth="1"/>
    <col min="11269" max="11269" width="14.59765625" style="214" bestFit="1" customWidth="1"/>
    <col min="11270" max="11270" width="8.69921875" style="214"/>
    <col min="11271" max="11271" width="3.796875" style="214" customWidth="1"/>
    <col min="11272" max="11272" width="14.5" style="214" bestFit="1" customWidth="1"/>
    <col min="11273" max="11273" width="7.09765625" style="214" bestFit="1" customWidth="1"/>
    <col min="11274" max="11274" width="8.59765625" style="214" bestFit="1" customWidth="1"/>
    <col min="11275" max="11275" width="5" style="214" bestFit="1" customWidth="1"/>
    <col min="11276" max="11276" width="13.5" style="214" bestFit="1" customWidth="1"/>
    <col min="11277" max="11277" width="12" style="214" customWidth="1"/>
    <col min="11278" max="11520" width="8.69921875" style="214"/>
    <col min="11521" max="11521" width="9.796875" style="214" bestFit="1" customWidth="1"/>
    <col min="11522" max="11522" width="8.296875" style="214" bestFit="1" customWidth="1"/>
    <col min="11523" max="11523" width="18.59765625" style="214" customWidth="1"/>
    <col min="11524" max="11524" width="17.09765625" style="214" customWidth="1"/>
    <col min="11525" max="11525" width="14.59765625" style="214" bestFit="1" customWidth="1"/>
    <col min="11526" max="11526" width="8.69921875" style="214"/>
    <col min="11527" max="11527" width="3.796875" style="214" customWidth="1"/>
    <col min="11528" max="11528" width="14.5" style="214" bestFit="1" customWidth="1"/>
    <col min="11529" max="11529" width="7.09765625" style="214" bestFit="1" customWidth="1"/>
    <col min="11530" max="11530" width="8.59765625" style="214" bestFit="1" customWidth="1"/>
    <col min="11531" max="11531" width="5" style="214" bestFit="1" customWidth="1"/>
    <col min="11532" max="11532" width="13.5" style="214" bestFit="1" customWidth="1"/>
    <col min="11533" max="11533" width="12" style="214" customWidth="1"/>
    <col min="11534" max="11776" width="8.69921875" style="214"/>
    <col min="11777" max="11777" width="9.796875" style="214" bestFit="1" customWidth="1"/>
    <col min="11778" max="11778" width="8.296875" style="214" bestFit="1" customWidth="1"/>
    <col min="11779" max="11779" width="18.59765625" style="214" customWidth="1"/>
    <col min="11780" max="11780" width="17.09765625" style="214" customWidth="1"/>
    <col min="11781" max="11781" width="14.59765625" style="214" bestFit="1" customWidth="1"/>
    <col min="11782" max="11782" width="8.69921875" style="214"/>
    <col min="11783" max="11783" width="3.796875" style="214" customWidth="1"/>
    <col min="11784" max="11784" width="14.5" style="214" bestFit="1" customWidth="1"/>
    <col min="11785" max="11785" width="7.09765625" style="214" bestFit="1" customWidth="1"/>
    <col min="11786" max="11786" width="8.59765625" style="214" bestFit="1" customWidth="1"/>
    <col min="11787" max="11787" width="5" style="214" bestFit="1" customWidth="1"/>
    <col min="11788" max="11788" width="13.5" style="214" bestFit="1" customWidth="1"/>
    <col min="11789" max="11789" width="12" style="214" customWidth="1"/>
    <col min="11790" max="12032" width="8.69921875" style="214"/>
    <col min="12033" max="12033" width="9.796875" style="214" bestFit="1" customWidth="1"/>
    <col min="12034" max="12034" width="8.296875" style="214" bestFit="1" customWidth="1"/>
    <col min="12035" max="12035" width="18.59765625" style="214" customWidth="1"/>
    <col min="12036" max="12036" width="17.09765625" style="214" customWidth="1"/>
    <col min="12037" max="12037" width="14.59765625" style="214" bestFit="1" customWidth="1"/>
    <col min="12038" max="12038" width="8.69921875" style="214"/>
    <col min="12039" max="12039" width="3.796875" style="214" customWidth="1"/>
    <col min="12040" max="12040" width="14.5" style="214" bestFit="1" customWidth="1"/>
    <col min="12041" max="12041" width="7.09765625" style="214" bestFit="1" customWidth="1"/>
    <col min="12042" max="12042" width="8.59765625" style="214" bestFit="1" customWidth="1"/>
    <col min="12043" max="12043" width="5" style="214" bestFit="1" customWidth="1"/>
    <col min="12044" max="12044" width="13.5" style="214" bestFit="1" customWidth="1"/>
    <col min="12045" max="12045" width="12" style="214" customWidth="1"/>
    <col min="12046" max="12288" width="8.69921875" style="214"/>
    <col min="12289" max="12289" width="9.796875" style="214" bestFit="1" customWidth="1"/>
    <col min="12290" max="12290" width="8.296875" style="214" bestFit="1" customWidth="1"/>
    <col min="12291" max="12291" width="18.59765625" style="214" customWidth="1"/>
    <col min="12292" max="12292" width="17.09765625" style="214" customWidth="1"/>
    <col min="12293" max="12293" width="14.59765625" style="214" bestFit="1" customWidth="1"/>
    <col min="12294" max="12294" width="8.69921875" style="214"/>
    <col min="12295" max="12295" width="3.796875" style="214" customWidth="1"/>
    <col min="12296" max="12296" width="14.5" style="214" bestFit="1" customWidth="1"/>
    <col min="12297" max="12297" width="7.09765625" style="214" bestFit="1" customWidth="1"/>
    <col min="12298" max="12298" width="8.59765625" style="214" bestFit="1" customWidth="1"/>
    <col min="12299" max="12299" width="5" style="214" bestFit="1" customWidth="1"/>
    <col min="12300" max="12300" width="13.5" style="214" bestFit="1" customWidth="1"/>
    <col min="12301" max="12301" width="12" style="214" customWidth="1"/>
    <col min="12302" max="12544" width="8.69921875" style="214"/>
    <col min="12545" max="12545" width="9.796875" style="214" bestFit="1" customWidth="1"/>
    <col min="12546" max="12546" width="8.296875" style="214" bestFit="1" customWidth="1"/>
    <col min="12547" max="12547" width="18.59765625" style="214" customWidth="1"/>
    <col min="12548" max="12548" width="17.09765625" style="214" customWidth="1"/>
    <col min="12549" max="12549" width="14.59765625" style="214" bestFit="1" customWidth="1"/>
    <col min="12550" max="12550" width="8.69921875" style="214"/>
    <col min="12551" max="12551" width="3.796875" style="214" customWidth="1"/>
    <col min="12552" max="12552" width="14.5" style="214" bestFit="1" customWidth="1"/>
    <col min="12553" max="12553" width="7.09765625" style="214" bestFit="1" customWidth="1"/>
    <col min="12554" max="12554" width="8.59765625" style="214" bestFit="1" customWidth="1"/>
    <col min="12555" max="12555" width="5" style="214" bestFit="1" customWidth="1"/>
    <col min="12556" max="12556" width="13.5" style="214" bestFit="1" customWidth="1"/>
    <col min="12557" max="12557" width="12" style="214" customWidth="1"/>
    <col min="12558" max="12800" width="8.69921875" style="214"/>
    <col min="12801" max="12801" width="9.796875" style="214" bestFit="1" customWidth="1"/>
    <col min="12802" max="12802" width="8.296875" style="214" bestFit="1" customWidth="1"/>
    <col min="12803" max="12803" width="18.59765625" style="214" customWidth="1"/>
    <col min="12804" max="12804" width="17.09765625" style="214" customWidth="1"/>
    <col min="12805" max="12805" width="14.59765625" style="214" bestFit="1" customWidth="1"/>
    <col min="12806" max="12806" width="8.69921875" style="214"/>
    <col min="12807" max="12807" width="3.796875" style="214" customWidth="1"/>
    <col min="12808" max="12808" width="14.5" style="214" bestFit="1" customWidth="1"/>
    <col min="12809" max="12809" width="7.09765625" style="214" bestFit="1" customWidth="1"/>
    <col min="12810" max="12810" width="8.59765625" style="214" bestFit="1" customWidth="1"/>
    <col min="12811" max="12811" width="5" style="214" bestFit="1" customWidth="1"/>
    <col min="12812" max="12812" width="13.5" style="214" bestFit="1" customWidth="1"/>
    <col min="12813" max="12813" width="12" style="214" customWidth="1"/>
    <col min="12814" max="13056" width="8.69921875" style="214"/>
    <col min="13057" max="13057" width="9.796875" style="214" bestFit="1" customWidth="1"/>
    <col min="13058" max="13058" width="8.296875" style="214" bestFit="1" customWidth="1"/>
    <col min="13059" max="13059" width="18.59765625" style="214" customWidth="1"/>
    <col min="13060" max="13060" width="17.09765625" style="214" customWidth="1"/>
    <col min="13061" max="13061" width="14.59765625" style="214" bestFit="1" customWidth="1"/>
    <col min="13062" max="13062" width="8.69921875" style="214"/>
    <col min="13063" max="13063" width="3.796875" style="214" customWidth="1"/>
    <col min="13064" max="13064" width="14.5" style="214" bestFit="1" customWidth="1"/>
    <col min="13065" max="13065" width="7.09765625" style="214" bestFit="1" customWidth="1"/>
    <col min="13066" max="13066" width="8.59765625" style="214" bestFit="1" customWidth="1"/>
    <col min="13067" max="13067" width="5" style="214" bestFit="1" customWidth="1"/>
    <col min="13068" max="13068" width="13.5" style="214" bestFit="1" customWidth="1"/>
    <col min="13069" max="13069" width="12" style="214" customWidth="1"/>
    <col min="13070" max="13312" width="8.69921875" style="214"/>
    <col min="13313" max="13313" width="9.796875" style="214" bestFit="1" customWidth="1"/>
    <col min="13314" max="13314" width="8.296875" style="214" bestFit="1" customWidth="1"/>
    <col min="13315" max="13315" width="18.59765625" style="214" customWidth="1"/>
    <col min="13316" max="13316" width="17.09765625" style="214" customWidth="1"/>
    <col min="13317" max="13317" width="14.59765625" style="214" bestFit="1" customWidth="1"/>
    <col min="13318" max="13318" width="8.69921875" style="214"/>
    <col min="13319" max="13319" width="3.796875" style="214" customWidth="1"/>
    <col min="13320" max="13320" width="14.5" style="214" bestFit="1" customWidth="1"/>
    <col min="13321" max="13321" width="7.09765625" style="214" bestFit="1" customWidth="1"/>
    <col min="13322" max="13322" width="8.59765625" style="214" bestFit="1" customWidth="1"/>
    <col min="13323" max="13323" width="5" style="214" bestFit="1" customWidth="1"/>
    <col min="13324" max="13324" width="13.5" style="214" bestFit="1" customWidth="1"/>
    <col min="13325" max="13325" width="12" style="214" customWidth="1"/>
    <col min="13326" max="13568" width="8.69921875" style="214"/>
    <col min="13569" max="13569" width="9.796875" style="214" bestFit="1" customWidth="1"/>
    <col min="13570" max="13570" width="8.296875" style="214" bestFit="1" customWidth="1"/>
    <col min="13571" max="13571" width="18.59765625" style="214" customWidth="1"/>
    <col min="13572" max="13572" width="17.09765625" style="214" customWidth="1"/>
    <col min="13573" max="13573" width="14.59765625" style="214" bestFit="1" customWidth="1"/>
    <col min="13574" max="13574" width="8.69921875" style="214"/>
    <col min="13575" max="13575" width="3.796875" style="214" customWidth="1"/>
    <col min="13576" max="13576" width="14.5" style="214" bestFit="1" customWidth="1"/>
    <col min="13577" max="13577" width="7.09765625" style="214" bestFit="1" customWidth="1"/>
    <col min="13578" max="13578" width="8.59765625" style="214" bestFit="1" customWidth="1"/>
    <col min="13579" max="13579" width="5" style="214" bestFit="1" customWidth="1"/>
    <col min="13580" max="13580" width="13.5" style="214" bestFit="1" customWidth="1"/>
    <col min="13581" max="13581" width="12" style="214" customWidth="1"/>
    <col min="13582" max="13824" width="8.69921875" style="214"/>
    <col min="13825" max="13825" width="9.796875" style="214" bestFit="1" customWidth="1"/>
    <col min="13826" max="13826" width="8.296875" style="214" bestFit="1" customWidth="1"/>
    <col min="13827" max="13827" width="18.59765625" style="214" customWidth="1"/>
    <col min="13828" max="13828" width="17.09765625" style="214" customWidth="1"/>
    <col min="13829" max="13829" width="14.59765625" style="214" bestFit="1" customWidth="1"/>
    <col min="13830" max="13830" width="8.69921875" style="214"/>
    <col min="13831" max="13831" width="3.796875" style="214" customWidth="1"/>
    <col min="13832" max="13832" width="14.5" style="214" bestFit="1" customWidth="1"/>
    <col min="13833" max="13833" width="7.09765625" style="214" bestFit="1" customWidth="1"/>
    <col min="13834" max="13834" width="8.59765625" style="214" bestFit="1" customWidth="1"/>
    <col min="13835" max="13835" width="5" style="214" bestFit="1" customWidth="1"/>
    <col min="13836" max="13836" width="13.5" style="214" bestFit="1" customWidth="1"/>
    <col min="13837" max="13837" width="12" style="214" customWidth="1"/>
    <col min="13838" max="14080" width="8.69921875" style="214"/>
    <col min="14081" max="14081" width="9.796875" style="214" bestFit="1" customWidth="1"/>
    <col min="14082" max="14082" width="8.296875" style="214" bestFit="1" customWidth="1"/>
    <col min="14083" max="14083" width="18.59765625" style="214" customWidth="1"/>
    <col min="14084" max="14084" width="17.09765625" style="214" customWidth="1"/>
    <col min="14085" max="14085" width="14.59765625" style="214" bestFit="1" customWidth="1"/>
    <col min="14086" max="14086" width="8.69921875" style="214"/>
    <col min="14087" max="14087" width="3.796875" style="214" customWidth="1"/>
    <col min="14088" max="14088" width="14.5" style="214" bestFit="1" customWidth="1"/>
    <col min="14089" max="14089" width="7.09765625" style="214" bestFit="1" customWidth="1"/>
    <col min="14090" max="14090" width="8.59765625" style="214" bestFit="1" customWidth="1"/>
    <col min="14091" max="14091" width="5" style="214" bestFit="1" customWidth="1"/>
    <col min="14092" max="14092" width="13.5" style="214" bestFit="1" customWidth="1"/>
    <col min="14093" max="14093" width="12" style="214" customWidth="1"/>
    <col min="14094" max="14336" width="8.69921875" style="214"/>
    <col min="14337" max="14337" width="9.796875" style="214" bestFit="1" customWidth="1"/>
    <col min="14338" max="14338" width="8.296875" style="214" bestFit="1" customWidth="1"/>
    <col min="14339" max="14339" width="18.59765625" style="214" customWidth="1"/>
    <col min="14340" max="14340" width="17.09765625" style="214" customWidth="1"/>
    <col min="14341" max="14341" width="14.59765625" style="214" bestFit="1" customWidth="1"/>
    <col min="14342" max="14342" width="8.69921875" style="214"/>
    <col min="14343" max="14343" width="3.796875" style="214" customWidth="1"/>
    <col min="14344" max="14344" width="14.5" style="214" bestFit="1" customWidth="1"/>
    <col min="14345" max="14345" width="7.09765625" style="214" bestFit="1" customWidth="1"/>
    <col min="14346" max="14346" width="8.59765625" style="214" bestFit="1" customWidth="1"/>
    <col min="14347" max="14347" width="5" style="214" bestFit="1" customWidth="1"/>
    <col min="14348" max="14348" width="13.5" style="214" bestFit="1" customWidth="1"/>
    <col min="14349" max="14349" width="12" style="214" customWidth="1"/>
    <col min="14350" max="14592" width="8.69921875" style="214"/>
    <col min="14593" max="14593" width="9.796875" style="214" bestFit="1" customWidth="1"/>
    <col min="14594" max="14594" width="8.296875" style="214" bestFit="1" customWidth="1"/>
    <col min="14595" max="14595" width="18.59765625" style="214" customWidth="1"/>
    <col min="14596" max="14596" width="17.09765625" style="214" customWidth="1"/>
    <col min="14597" max="14597" width="14.59765625" style="214" bestFit="1" customWidth="1"/>
    <col min="14598" max="14598" width="8.69921875" style="214"/>
    <col min="14599" max="14599" width="3.796875" style="214" customWidth="1"/>
    <col min="14600" max="14600" width="14.5" style="214" bestFit="1" customWidth="1"/>
    <col min="14601" max="14601" width="7.09765625" style="214" bestFit="1" customWidth="1"/>
    <col min="14602" max="14602" width="8.59765625" style="214" bestFit="1" customWidth="1"/>
    <col min="14603" max="14603" width="5" style="214" bestFit="1" customWidth="1"/>
    <col min="14604" max="14604" width="13.5" style="214" bestFit="1" customWidth="1"/>
    <col min="14605" max="14605" width="12" style="214" customWidth="1"/>
    <col min="14606" max="14848" width="8.69921875" style="214"/>
    <col min="14849" max="14849" width="9.796875" style="214" bestFit="1" customWidth="1"/>
    <col min="14850" max="14850" width="8.296875" style="214" bestFit="1" customWidth="1"/>
    <col min="14851" max="14851" width="18.59765625" style="214" customWidth="1"/>
    <col min="14852" max="14852" width="17.09765625" style="214" customWidth="1"/>
    <col min="14853" max="14853" width="14.59765625" style="214" bestFit="1" customWidth="1"/>
    <col min="14854" max="14854" width="8.69921875" style="214"/>
    <col min="14855" max="14855" width="3.796875" style="214" customWidth="1"/>
    <col min="14856" max="14856" width="14.5" style="214" bestFit="1" customWidth="1"/>
    <col min="14857" max="14857" width="7.09765625" style="214" bestFit="1" customWidth="1"/>
    <col min="14858" max="14858" width="8.59765625" style="214" bestFit="1" customWidth="1"/>
    <col min="14859" max="14859" width="5" style="214" bestFit="1" customWidth="1"/>
    <col min="14860" max="14860" width="13.5" style="214" bestFit="1" customWidth="1"/>
    <col min="14861" max="14861" width="12" style="214" customWidth="1"/>
    <col min="14862" max="15104" width="8.69921875" style="214"/>
    <col min="15105" max="15105" width="9.796875" style="214" bestFit="1" customWidth="1"/>
    <col min="15106" max="15106" width="8.296875" style="214" bestFit="1" customWidth="1"/>
    <col min="15107" max="15107" width="18.59765625" style="214" customWidth="1"/>
    <col min="15108" max="15108" width="17.09765625" style="214" customWidth="1"/>
    <col min="15109" max="15109" width="14.59765625" style="214" bestFit="1" customWidth="1"/>
    <col min="15110" max="15110" width="8.69921875" style="214"/>
    <col min="15111" max="15111" width="3.796875" style="214" customWidth="1"/>
    <col min="15112" max="15112" width="14.5" style="214" bestFit="1" customWidth="1"/>
    <col min="15113" max="15113" width="7.09765625" style="214" bestFit="1" customWidth="1"/>
    <col min="15114" max="15114" width="8.59765625" style="214" bestFit="1" customWidth="1"/>
    <col min="15115" max="15115" width="5" style="214" bestFit="1" customWidth="1"/>
    <col min="15116" max="15116" width="13.5" style="214" bestFit="1" customWidth="1"/>
    <col min="15117" max="15117" width="12" style="214" customWidth="1"/>
    <col min="15118" max="15360" width="8.69921875" style="214"/>
    <col min="15361" max="15361" width="9.796875" style="214" bestFit="1" customWidth="1"/>
    <col min="15362" max="15362" width="8.296875" style="214" bestFit="1" customWidth="1"/>
    <col min="15363" max="15363" width="18.59765625" style="214" customWidth="1"/>
    <col min="15364" max="15364" width="17.09765625" style="214" customWidth="1"/>
    <col min="15365" max="15365" width="14.59765625" style="214" bestFit="1" customWidth="1"/>
    <col min="15366" max="15366" width="8.69921875" style="214"/>
    <col min="15367" max="15367" width="3.796875" style="214" customWidth="1"/>
    <col min="15368" max="15368" width="14.5" style="214" bestFit="1" customWidth="1"/>
    <col min="15369" max="15369" width="7.09765625" style="214" bestFit="1" customWidth="1"/>
    <col min="15370" max="15370" width="8.59765625" style="214" bestFit="1" customWidth="1"/>
    <col min="15371" max="15371" width="5" style="214" bestFit="1" customWidth="1"/>
    <col min="15372" max="15372" width="13.5" style="214" bestFit="1" customWidth="1"/>
    <col min="15373" max="15373" width="12" style="214" customWidth="1"/>
    <col min="15374" max="15616" width="8.69921875" style="214"/>
    <col min="15617" max="15617" width="9.796875" style="214" bestFit="1" customWidth="1"/>
    <col min="15618" max="15618" width="8.296875" style="214" bestFit="1" customWidth="1"/>
    <col min="15619" max="15619" width="18.59765625" style="214" customWidth="1"/>
    <col min="15620" max="15620" width="17.09765625" style="214" customWidth="1"/>
    <col min="15621" max="15621" width="14.59765625" style="214" bestFit="1" customWidth="1"/>
    <col min="15622" max="15622" width="8.69921875" style="214"/>
    <col min="15623" max="15623" width="3.796875" style="214" customWidth="1"/>
    <col min="15624" max="15624" width="14.5" style="214" bestFit="1" customWidth="1"/>
    <col min="15625" max="15625" width="7.09765625" style="214" bestFit="1" customWidth="1"/>
    <col min="15626" max="15626" width="8.59765625" style="214" bestFit="1" customWidth="1"/>
    <col min="15627" max="15627" width="5" style="214" bestFit="1" customWidth="1"/>
    <col min="15628" max="15628" width="13.5" style="214" bestFit="1" customWidth="1"/>
    <col min="15629" max="15629" width="12" style="214" customWidth="1"/>
    <col min="15630" max="15872" width="8.69921875" style="214"/>
    <col min="15873" max="15873" width="9.796875" style="214" bestFit="1" customWidth="1"/>
    <col min="15874" max="15874" width="8.296875" style="214" bestFit="1" customWidth="1"/>
    <col min="15875" max="15875" width="18.59765625" style="214" customWidth="1"/>
    <col min="15876" max="15876" width="17.09765625" style="214" customWidth="1"/>
    <col min="15877" max="15877" width="14.59765625" style="214" bestFit="1" customWidth="1"/>
    <col min="15878" max="15878" width="8.69921875" style="214"/>
    <col min="15879" max="15879" width="3.796875" style="214" customWidth="1"/>
    <col min="15880" max="15880" width="14.5" style="214" bestFit="1" customWidth="1"/>
    <col min="15881" max="15881" width="7.09765625" style="214" bestFit="1" customWidth="1"/>
    <col min="15882" max="15882" width="8.59765625" style="214" bestFit="1" customWidth="1"/>
    <col min="15883" max="15883" width="5" style="214" bestFit="1" customWidth="1"/>
    <col min="15884" max="15884" width="13.5" style="214" bestFit="1" customWidth="1"/>
    <col min="15885" max="15885" width="12" style="214" customWidth="1"/>
    <col min="15886" max="16128" width="8.69921875" style="214"/>
    <col min="16129" max="16129" width="9.796875" style="214" bestFit="1" customWidth="1"/>
    <col min="16130" max="16130" width="8.296875" style="214" bestFit="1" customWidth="1"/>
    <col min="16131" max="16131" width="18.59765625" style="214" customWidth="1"/>
    <col min="16132" max="16132" width="17.09765625" style="214" customWidth="1"/>
    <col min="16133" max="16133" width="14.59765625" style="214" bestFit="1" customWidth="1"/>
    <col min="16134" max="16134" width="8.69921875" style="214"/>
    <col min="16135" max="16135" width="3.796875" style="214" customWidth="1"/>
    <col min="16136" max="16136" width="14.5" style="214" bestFit="1" customWidth="1"/>
    <col min="16137" max="16137" width="7.09765625" style="214" bestFit="1" customWidth="1"/>
    <col min="16138" max="16138" width="8.59765625" style="214" bestFit="1" customWidth="1"/>
    <col min="16139" max="16139" width="5" style="214" bestFit="1" customWidth="1"/>
    <col min="16140" max="16140" width="13.5" style="214" bestFit="1" customWidth="1"/>
    <col min="16141" max="16141" width="12" style="214" customWidth="1"/>
    <col min="16142" max="16382" width="8.69921875" style="214"/>
    <col min="16383" max="16384" width="8.69921875" style="214" customWidth="1"/>
  </cols>
  <sheetData>
    <row r="2" spans="1:9">
      <c r="A2" s="349" t="s">
        <v>172</v>
      </c>
      <c r="B2" s="349"/>
      <c r="C2" s="349"/>
      <c r="D2" s="349"/>
      <c r="E2" s="349"/>
      <c r="F2" s="349"/>
      <c r="G2" s="331"/>
    </row>
    <row r="3" spans="1:9">
      <c r="A3" s="349"/>
      <c r="B3" s="349"/>
      <c r="C3" s="349"/>
      <c r="D3" s="349"/>
      <c r="E3" s="349"/>
      <c r="F3" s="349"/>
      <c r="G3" s="331"/>
    </row>
    <row r="5" spans="1:9" ht="15" customHeight="1">
      <c r="A5" s="232" t="s">
        <v>121</v>
      </c>
      <c r="B5" s="233" t="s">
        <v>104</v>
      </c>
      <c r="C5" s="232" t="s">
        <v>99</v>
      </c>
      <c r="D5" s="232" t="s">
        <v>96</v>
      </c>
      <c r="E5" s="232" t="s">
        <v>97</v>
      </c>
      <c r="F5" s="227" t="s">
        <v>98</v>
      </c>
      <c r="G5" s="332"/>
    </row>
    <row r="6" spans="1:9">
      <c r="A6" s="232" t="s">
        <v>11</v>
      </c>
      <c r="B6" s="233" t="s">
        <v>103</v>
      </c>
      <c r="C6" s="232"/>
      <c r="D6" s="234"/>
      <c r="E6" s="234"/>
      <c r="F6" s="234"/>
      <c r="G6" s="333"/>
    </row>
    <row r="7" spans="1:9" ht="63" customHeight="1">
      <c r="A7" s="235">
        <v>1</v>
      </c>
      <c r="B7" s="236" t="s">
        <v>0</v>
      </c>
      <c r="C7" s="200" t="s">
        <v>418</v>
      </c>
      <c r="D7" s="200" t="s">
        <v>418</v>
      </c>
      <c r="E7" s="200" t="s">
        <v>418</v>
      </c>
      <c r="F7" s="200" t="s">
        <v>418</v>
      </c>
      <c r="G7" s="334"/>
    </row>
    <row r="8" spans="1:9" ht="24" customHeight="1">
      <c r="A8" s="237">
        <v>2</v>
      </c>
      <c r="B8" s="236" t="s">
        <v>4</v>
      </c>
      <c r="C8" s="201"/>
      <c r="D8" s="201" t="s">
        <v>380</v>
      </c>
      <c r="E8" s="201" t="s">
        <v>380</v>
      </c>
      <c r="F8" s="201" t="s">
        <v>380</v>
      </c>
      <c r="G8" s="335"/>
    </row>
    <row r="9" spans="1:9">
      <c r="A9" s="237" t="s">
        <v>65</v>
      </c>
      <c r="B9" s="236" t="s">
        <v>5</v>
      </c>
      <c r="C9" s="201"/>
      <c r="D9" s="238" t="s">
        <v>426</v>
      </c>
      <c r="E9" s="238" t="s">
        <v>429</v>
      </c>
      <c r="F9" s="238" t="s">
        <v>412</v>
      </c>
      <c r="G9" s="336"/>
    </row>
    <row r="10" spans="1:9">
      <c r="A10" s="235">
        <v>3</v>
      </c>
      <c r="B10" s="236" t="s">
        <v>57</v>
      </c>
      <c r="C10" s="201"/>
      <c r="D10" s="239" t="s">
        <v>135</v>
      </c>
      <c r="E10" s="239" t="s">
        <v>135</v>
      </c>
      <c r="F10" s="239" t="s">
        <v>381</v>
      </c>
      <c r="G10" s="337"/>
    </row>
    <row r="11" spans="1:9" ht="27.6">
      <c r="A11" s="235">
        <v>4</v>
      </c>
      <c r="B11" s="236" t="s">
        <v>247</v>
      </c>
      <c r="C11" s="201"/>
      <c r="D11" s="240" t="s">
        <v>427</v>
      </c>
      <c r="E11" s="240" t="s">
        <v>427</v>
      </c>
      <c r="F11" s="240" t="s">
        <v>427</v>
      </c>
      <c r="G11" s="338"/>
    </row>
    <row r="12" spans="1:9" ht="27.6">
      <c r="A12" s="235">
        <v>5</v>
      </c>
      <c r="B12" s="236" t="s">
        <v>58</v>
      </c>
      <c r="C12" s="241" t="s">
        <v>59</v>
      </c>
      <c r="D12" s="241" t="s">
        <v>59</v>
      </c>
      <c r="E12" s="241" t="s">
        <v>59</v>
      </c>
      <c r="F12" s="241" t="s">
        <v>59</v>
      </c>
      <c r="G12" s="339"/>
    </row>
    <row r="13" spans="1:9" ht="27.6">
      <c r="A13" s="235">
        <v>6</v>
      </c>
      <c r="B13" s="236" t="s">
        <v>6</v>
      </c>
      <c r="C13" s="202" t="s">
        <v>102</v>
      </c>
      <c r="D13" s="202" t="s">
        <v>102</v>
      </c>
      <c r="E13" s="202" t="s">
        <v>102</v>
      </c>
      <c r="F13" s="202" t="s">
        <v>102</v>
      </c>
      <c r="G13" s="340"/>
    </row>
    <row r="14" spans="1:9">
      <c r="A14" s="235">
        <v>7</v>
      </c>
      <c r="B14" s="236" t="s">
        <v>100</v>
      </c>
      <c r="C14" s="201" t="s">
        <v>379</v>
      </c>
      <c r="D14" s="201" t="s">
        <v>379</v>
      </c>
      <c r="E14" s="201" t="s">
        <v>379</v>
      </c>
      <c r="F14" s="201" t="s">
        <v>379</v>
      </c>
      <c r="G14" s="335"/>
    </row>
    <row r="15" spans="1:9" ht="14.4" thickBot="1">
      <c r="A15" s="242">
        <v>8</v>
      </c>
      <c r="B15" s="243" t="s">
        <v>382</v>
      </c>
      <c r="C15" s="325" t="s">
        <v>419</v>
      </c>
      <c r="D15" s="325" t="s">
        <v>419</v>
      </c>
      <c r="E15" s="325" t="s">
        <v>430</v>
      </c>
      <c r="F15" s="325" t="s">
        <v>419</v>
      </c>
      <c r="G15" s="341"/>
    </row>
    <row r="16" spans="1:9" ht="51" customHeight="1" thickBot="1">
      <c r="A16" s="235">
        <v>9</v>
      </c>
      <c r="B16" s="236" t="s">
        <v>45</v>
      </c>
      <c r="C16" s="323" t="s">
        <v>420</v>
      </c>
      <c r="D16" s="323" t="s">
        <v>434</v>
      </c>
      <c r="E16" s="323" t="s">
        <v>420</v>
      </c>
      <c r="F16" s="323" t="s">
        <v>434</v>
      </c>
      <c r="G16" s="342"/>
      <c r="I16" s="116"/>
    </row>
    <row r="17" spans="1:11" ht="19.2" customHeight="1">
      <c r="A17" s="235">
        <v>10</v>
      </c>
      <c r="B17" s="236" t="s">
        <v>101</v>
      </c>
      <c r="C17" s="201" t="s">
        <v>421</v>
      </c>
      <c r="D17" s="201" t="s">
        <v>428</v>
      </c>
      <c r="E17" s="201" t="s">
        <v>421</v>
      </c>
      <c r="F17" s="201" t="s">
        <v>428</v>
      </c>
      <c r="G17" s="335"/>
    </row>
    <row r="18" spans="1:11">
      <c r="A18" s="235">
        <v>11</v>
      </c>
      <c r="B18" s="236" t="s">
        <v>383</v>
      </c>
      <c r="C18" s="270">
        <v>19729.7</v>
      </c>
      <c r="D18" s="270">
        <v>30000</v>
      </c>
      <c r="E18" s="270">
        <v>11357.8</v>
      </c>
      <c r="F18" s="244">
        <v>20000</v>
      </c>
      <c r="G18" s="343"/>
    </row>
    <row r="19" spans="1:11" ht="13.5" customHeight="1">
      <c r="A19" s="237">
        <v>12</v>
      </c>
      <c r="B19" s="236" t="s">
        <v>105</v>
      </c>
      <c r="C19" s="245">
        <v>163.38</v>
      </c>
      <c r="D19" s="195">
        <v>240</v>
      </c>
      <c r="E19" s="195">
        <v>106</v>
      </c>
      <c r="F19" s="195">
        <v>110</v>
      </c>
      <c r="G19" s="342"/>
    </row>
    <row r="20" spans="1:11">
      <c r="A20" s="235">
        <v>13</v>
      </c>
      <c r="B20" s="236" t="s">
        <v>384</v>
      </c>
      <c r="C20" s="201" t="s">
        <v>422</v>
      </c>
      <c r="D20" s="201" t="s">
        <v>342</v>
      </c>
      <c r="E20" s="201" t="s">
        <v>342</v>
      </c>
      <c r="F20" s="201" t="s">
        <v>342</v>
      </c>
      <c r="G20" s="335"/>
    </row>
    <row r="21" spans="1:11">
      <c r="A21" s="235">
        <v>14</v>
      </c>
      <c r="B21" s="236" t="s">
        <v>60</v>
      </c>
      <c r="C21" s="201" t="s">
        <v>423</v>
      </c>
      <c r="D21" s="201" t="s">
        <v>423</v>
      </c>
      <c r="E21" s="201" t="s">
        <v>423</v>
      </c>
      <c r="F21" s="201" t="s">
        <v>423</v>
      </c>
      <c r="G21" s="335"/>
      <c r="H21" s="246"/>
    </row>
    <row r="22" spans="1:11" ht="25.95" customHeight="1">
      <c r="A22" s="235">
        <v>15</v>
      </c>
      <c r="B22" s="236" t="s">
        <v>61</v>
      </c>
      <c r="C22" s="201" t="s">
        <v>424</v>
      </c>
      <c r="D22" s="201" t="s">
        <v>424</v>
      </c>
      <c r="E22" s="201" t="s">
        <v>424</v>
      </c>
      <c r="F22" s="201" t="s">
        <v>424</v>
      </c>
      <c r="G22" s="335"/>
      <c r="H22" s="246"/>
    </row>
    <row r="23" spans="1:11">
      <c r="A23" s="235">
        <v>16</v>
      </c>
      <c r="B23" s="236" t="s">
        <v>385</v>
      </c>
      <c r="C23" s="201" t="s">
        <v>386</v>
      </c>
      <c r="D23" s="201" t="s">
        <v>386</v>
      </c>
      <c r="E23" s="201" t="s">
        <v>431</v>
      </c>
      <c r="F23" s="201" t="s">
        <v>386</v>
      </c>
      <c r="G23" s="335"/>
    </row>
    <row r="24" spans="1:11" ht="82.8">
      <c r="A24" s="235">
        <v>17</v>
      </c>
      <c r="B24" s="236" t="s">
        <v>387</v>
      </c>
      <c r="C24" s="201" t="s">
        <v>425</v>
      </c>
      <c r="D24" s="201" t="s">
        <v>432</v>
      </c>
      <c r="E24" s="201" t="s">
        <v>425</v>
      </c>
      <c r="F24" s="201" t="s">
        <v>433</v>
      </c>
      <c r="G24" s="335"/>
    </row>
    <row r="25" spans="1:11" ht="27.6">
      <c r="A25" s="235">
        <v>18</v>
      </c>
      <c r="B25" s="236" t="s">
        <v>388</v>
      </c>
      <c r="C25" s="201" t="s">
        <v>411</v>
      </c>
      <c r="D25" s="201" t="s">
        <v>411</v>
      </c>
      <c r="E25" s="201" t="s">
        <v>411</v>
      </c>
      <c r="F25" s="201" t="s">
        <v>411</v>
      </c>
      <c r="G25" s="335"/>
      <c r="I25" s="201"/>
    </row>
    <row r="26" spans="1:11">
      <c r="A26" s="235">
        <v>19</v>
      </c>
      <c r="B26" s="236" t="s">
        <v>106</v>
      </c>
      <c r="C26" s="241" t="s">
        <v>410</v>
      </c>
      <c r="D26" s="241" t="s">
        <v>410</v>
      </c>
      <c r="E26" s="241" t="s">
        <v>414</v>
      </c>
      <c r="F26" s="241" t="s">
        <v>410</v>
      </c>
      <c r="G26" s="339"/>
    </row>
    <row r="27" spans="1:11">
      <c r="A27" s="237" t="s">
        <v>65</v>
      </c>
      <c r="B27" s="236" t="s">
        <v>107</v>
      </c>
      <c r="C27" s="247">
        <v>0</v>
      </c>
      <c r="D27" s="195"/>
      <c r="E27" s="195"/>
      <c r="F27" s="195"/>
      <c r="G27" s="342"/>
    </row>
    <row r="28" spans="1:11" ht="31.5" customHeight="1">
      <c r="A28" s="237" t="s">
        <v>65</v>
      </c>
      <c r="B28" s="236" t="s">
        <v>389</v>
      </c>
      <c r="C28" s="247">
        <v>0</v>
      </c>
      <c r="D28" s="195"/>
      <c r="E28" s="326">
        <v>9000</v>
      </c>
      <c r="F28" s="195"/>
      <c r="G28" s="342"/>
    </row>
    <row r="29" spans="1:11" ht="16.2" customHeight="1">
      <c r="A29" s="235">
        <v>20</v>
      </c>
      <c r="B29" s="236" t="s">
        <v>109</v>
      </c>
      <c r="C29" s="241"/>
      <c r="D29" s="204">
        <v>36000000000</v>
      </c>
      <c r="E29" s="204">
        <v>28000000000</v>
      </c>
      <c r="F29" s="204">
        <v>30000000000</v>
      </c>
      <c r="G29" s="249">
        <v>26270</v>
      </c>
      <c r="H29" s="214" t="s">
        <v>413</v>
      </c>
    </row>
    <row r="30" spans="1:11" ht="27.6">
      <c r="A30" s="235">
        <v>21</v>
      </c>
      <c r="B30" s="236" t="s">
        <v>108</v>
      </c>
      <c r="C30" s="241"/>
      <c r="D30" s="204">
        <f>D29*0.9</f>
        <v>32400000000</v>
      </c>
      <c r="E30" s="204">
        <f t="shared" ref="E30:F30" si="0">E29*0.9</f>
        <v>25200000000</v>
      </c>
      <c r="F30" s="204">
        <f t="shared" si="0"/>
        <v>27000000000</v>
      </c>
      <c r="G30" s="249"/>
      <c r="H30" s="248"/>
      <c r="I30" s="329"/>
      <c r="J30" s="249"/>
      <c r="K30" s="249"/>
    </row>
    <row r="31" spans="1:11">
      <c r="A31" s="250" t="s">
        <v>13</v>
      </c>
      <c r="B31" s="251" t="s">
        <v>110</v>
      </c>
      <c r="C31" s="241"/>
      <c r="D31" s="252"/>
      <c r="E31" s="252"/>
      <c r="F31" s="252"/>
      <c r="G31" s="344"/>
    </row>
    <row r="32" spans="1:11" ht="27.6">
      <c r="A32" s="250">
        <v>1</v>
      </c>
      <c r="B32" s="251" t="s">
        <v>390</v>
      </c>
      <c r="C32" s="241"/>
      <c r="D32" s="203"/>
      <c r="E32" s="203">
        <f>E28*E33*E34</f>
        <v>7762745454.545454</v>
      </c>
      <c r="F32" s="203"/>
      <c r="G32" s="345"/>
    </row>
    <row r="33" spans="1:11" ht="72" customHeight="1">
      <c r="A33" s="237" t="s">
        <v>65</v>
      </c>
      <c r="B33" s="236" t="s">
        <v>391</v>
      </c>
      <c r="C33" s="241"/>
      <c r="D33" s="204"/>
      <c r="E33" s="204">
        <f>2008000*0.945/1.1</f>
        <v>1725054.5454545454</v>
      </c>
      <c r="F33" s="204"/>
      <c r="G33" s="249"/>
      <c r="I33" s="327"/>
    </row>
    <row r="34" spans="1:11">
      <c r="A34" s="237" t="s">
        <v>65</v>
      </c>
      <c r="B34" s="253" t="s">
        <v>41</v>
      </c>
      <c r="C34" s="254"/>
      <c r="D34" s="255"/>
      <c r="E34" s="255">
        <v>0.5</v>
      </c>
      <c r="F34" s="255"/>
      <c r="G34" s="346"/>
    </row>
    <row r="35" spans="1:11">
      <c r="A35" s="250">
        <v>1</v>
      </c>
      <c r="B35" s="251" t="s">
        <v>111</v>
      </c>
      <c r="C35" s="241"/>
      <c r="D35" s="256">
        <f>D30-D32</f>
        <v>32400000000</v>
      </c>
      <c r="E35" s="256">
        <f>E30-E32</f>
        <v>17437254545.454544</v>
      </c>
      <c r="F35" s="256">
        <f>F30-F32</f>
        <v>27000000000</v>
      </c>
      <c r="G35" s="347"/>
    </row>
    <row r="36" spans="1:11" ht="27.6">
      <c r="A36" s="250">
        <v>2</v>
      </c>
      <c r="B36" s="251" t="s">
        <v>392</v>
      </c>
      <c r="C36" s="201"/>
      <c r="D36" s="257">
        <f>D35/D18</f>
        <v>1080000</v>
      </c>
      <c r="E36" s="257">
        <f>E35/E18</f>
        <v>1535266.9130865613</v>
      </c>
      <c r="F36" s="257">
        <f>F35/F18</f>
        <v>1350000</v>
      </c>
      <c r="G36" s="348"/>
    </row>
    <row r="37" spans="1:11">
      <c r="A37" s="250" t="s">
        <v>14</v>
      </c>
      <c r="B37" s="251" t="s">
        <v>263</v>
      </c>
      <c r="C37" s="241"/>
      <c r="D37" s="241"/>
      <c r="E37" s="241"/>
      <c r="F37" s="241"/>
      <c r="G37" s="339"/>
    </row>
    <row r="38" spans="1:11">
      <c r="A38" s="235">
        <v>1</v>
      </c>
      <c r="B38" s="258" t="str">
        <f>'[2]BĐC '!B5</f>
        <v>Tính chất giao dịch</v>
      </c>
      <c r="C38" s="235"/>
      <c r="D38" s="202" t="e">
        <f>IF('[2]BĐC '!$D$6&gt;'[2]BĐC '!E6," Lợi thế hơn", IF('[2]BĐC '!$D$6&lt;'[2]BĐC '!E6, "Kém lợi thế hơn", "Tương đồng"))</f>
        <v>#REF!</v>
      </c>
      <c r="E38" s="202" t="e">
        <f>IF('[2]BĐC '!$D$6&gt;'[2]BĐC '!F6," Lợi thế hơn", IF('[2]BĐC '!$D$6&lt;'[2]BĐC '!F6, "Kém lợi thế hơn", "Tương đồng"))</f>
        <v>#REF!</v>
      </c>
      <c r="F38" s="202" t="e">
        <f>IF('[2]BĐC '!$D$6&gt;'[2]BĐC '!G6," Lợi thế hơn", IF('[2]BĐC '!$D$6&lt;'[2]BĐC '!G6, "Kém lợi thế hơn", "Tương đồng"))</f>
        <v>#REF!</v>
      </c>
      <c r="G38" s="340"/>
    </row>
    <row r="39" spans="1:11">
      <c r="A39" s="235">
        <v>1</v>
      </c>
      <c r="B39" s="258" t="str">
        <f>'[2]BĐC '!B9</f>
        <v>Pháp lý</v>
      </c>
      <c r="C39" s="235"/>
      <c r="D39" s="202" t="e">
        <f>IF('[2]BĐC '!$D$6&gt;'[2]BĐC '!E10," Lợi thế hơn", IF('[2]BĐC '!$D$6&lt;'[2]BĐC '!E10, "Kém lợi thế hơn", "Tương đồng"))</f>
        <v>#REF!</v>
      </c>
      <c r="E39" s="202" t="e">
        <f>IF('[2]BĐC '!$D$6&gt;'[2]BĐC '!F10," Lợi thế hơn", IF('[2]BĐC '!$D$6&lt;'[2]BĐC '!F10, "Kém lợi thế hơn", "Tương đồng"))</f>
        <v>#REF!</v>
      </c>
      <c r="F39" s="202" t="e">
        <f>IF('[2]BĐC '!$D$6&gt;'[2]BĐC '!G10," Lợi thế hơn", IF('[2]BĐC '!$D$6&lt;'[2]BĐC '!G10, "Kém lợi thế hơn", "Tương đồng"))</f>
        <v>#REF!</v>
      </c>
      <c r="G39" s="340"/>
    </row>
    <row r="40" spans="1:11">
      <c r="A40" s="235">
        <v>3</v>
      </c>
      <c r="B40" s="258" t="str">
        <f>'[2]BĐC '!B13</f>
        <v>Mục đích sử dụng</v>
      </c>
      <c r="C40" s="235"/>
      <c r="D40" s="202" t="e">
        <f>IF('[2]BĐC '!$D$6&gt;'[2]BĐC '!E14," Lợi thế hơn", IF('[2]BĐC '!$D$6&lt;'[2]BĐC '!E14, "Kém lợi thế hơn", "Tương đồng"))</f>
        <v>#REF!</v>
      </c>
      <c r="E40" s="202" t="e">
        <f>IF('[2]BĐC '!$D$6&gt;'[2]BĐC '!F14," Lợi thế hơn", IF('[2]BĐC '!$D$6&lt;'[2]BĐC '!F14, "Kém lợi thế hơn", "Tương đồng"))</f>
        <v>#REF!</v>
      </c>
      <c r="F40" s="202" t="e">
        <f>IF('[2]BĐC '!$D$6&gt;'[2]BĐC '!G14," Lợi thế hơn", IF('[2]BĐC '!$D$6&lt;'[2]BĐC '!G14, "Kém lợi thế hơn", "Tương đồng"))</f>
        <v>#REF!</v>
      </c>
      <c r="G40" s="340"/>
    </row>
    <row r="41" spans="1:11">
      <c r="A41" s="235">
        <v>4</v>
      </c>
      <c r="B41" s="258" t="str">
        <f>'[2]BĐC '!B17</f>
        <v>Thời hạn sử dụng đất</v>
      </c>
      <c r="C41" s="235"/>
      <c r="D41" s="202" t="e">
        <f>IF('[2]BĐC '!$D$6&gt;'[2]BĐC '!E18," Lợi thế hơn", IF('[2]BĐC '!$D$6&lt;'[2]BĐC '!E18, "Kém lợi thế hơn", "Tương đồng"))</f>
        <v>#REF!</v>
      </c>
      <c r="E41" s="202" t="e">
        <f>IF('[2]BĐC '!$D$6&gt;'[2]BĐC '!F18," Lợi thế hơn", IF('[2]BĐC '!$D$6&lt;'[2]BĐC '!F18, "Kém lợi thế hơn", "Tương đồng"))</f>
        <v>#REF!</v>
      </c>
      <c r="F41" s="202" t="e">
        <f>IF('[2]BĐC '!$D$6&gt;'[2]BĐC '!G18," Lợi thế hơn", IF('[2]BĐC '!$D$6&lt;'[2]BĐC '!G18, "Kém lợi thế hơn", "Tương đồng"))</f>
        <v>#REF!</v>
      </c>
      <c r="G41" s="340"/>
    </row>
    <row r="42" spans="1:11">
      <c r="A42" s="235">
        <v>2</v>
      </c>
      <c r="B42" s="258" t="str">
        <f>'[2]BĐC '!B21</f>
        <v>Vị trí</v>
      </c>
      <c r="C42" s="235"/>
      <c r="D42" s="202" t="e">
        <f>IF('[2]BĐC '!$D$6&gt;'[2]BĐC '!E22," Lợi thế hơn", IF('[2]BĐC '!$D$6&lt;'[2]BĐC '!E22, "Kém lợi thế hơn", "Tương đồng"))</f>
        <v>#REF!</v>
      </c>
      <c r="E42" s="202" t="e">
        <f>IF('[2]BĐC '!$D$6&gt;'[2]BĐC '!F22," Lợi thế hơn", IF('[2]BĐC '!$D$6&lt;'[2]BĐC '!F22, "Kém lợi thế hơn", "Tương đồng"))</f>
        <v>#REF!</v>
      </c>
      <c r="F42" s="202" t="e">
        <f>IF('[2]BĐC '!$D$6&gt;'[2]BĐC '!G22," Lợi thế hơn", IF('[2]BĐC '!$D$6&lt;'[2]BĐC '!G22, "Kém lợi thế hơn", "Tương đồng"))</f>
        <v>#REF!</v>
      </c>
      <c r="G42" s="340"/>
    </row>
    <row r="43" spans="1:11">
      <c r="A43" s="235">
        <v>3</v>
      </c>
      <c r="B43" s="258" t="str">
        <f>'[2]BĐC '!B25</f>
        <v>Giao thông</v>
      </c>
      <c r="C43" s="235"/>
      <c r="D43" s="202" t="e">
        <f>IF('[2]BĐC '!$D$6&gt;'[2]BĐC '!E26," Lợi thế hơn", IF('[2]BĐC '!$D$6&lt;'[2]BĐC '!E26, "Kém lợi thế hơn", "Tương đồng"))</f>
        <v>#REF!</v>
      </c>
      <c r="E43" s="202" t="e">
        <f>IF('[2]BĐC '!$D$6&gt;'[2]BĐC '!F26," Lợi thế hơn", IF('[2]BĐC '!$D$6&lt;'[2]BĐC '!F26, "Kém lợi thế hơn", "Tương đồng"))</f>
        <v>#REF!</v>
      </c>
      <c r="F43" s="202" t="e">
        <f>IF('[2]BĐC '!$D$6&gt;'[2]BĐC '!G26," Lợi thế hơn", IF('[2]BĐC '!$D$6&lt;'[2]BĐC '!G26, "Kém lợi thế hơn", "Tương đồng"))</f>
        <v>#REF!</v>
      </c>
      <c r="G43" s="340"/>
      <c r="I43" s="248"/>
      <c r="J43" s="248"/>
      <c r="K43" s="248"/>
    </row>
    <row r="44" spans="1:11">
      <c r="A44" s="235">
        <v>4</v>
      </c>
      <c r="B44" s="258" t="str">
        <f>'[2]BĐC '!B29</f>
        <v>Tổng diện tích đất (m²)</v>
      </c>
      <c r="C44" s="235"/>
      <c r="D44" s="202" t="e">
        <f>IF('[2]BĐC '!$D$6&gt;'[2]BĐC '!E30," Lợi thế hơn", IF('[2]BĐC '!$D$6&lt;'[2]BĐC '!E30, "Kém lợi thế hơn", "Tương đồng"))</f>
        <v>#REF!</v>
      </c>
      <c r="E44" s="202" t="e">
        <f>IF('[2]BĐC '!$D$6&gt;'[2]BĐC '!F30," Lợi thế hơn", IF('[2]BĐC '!$D$6&lt;'[2]BĐC '!F30, "Kém lợi thế hơn", "Tương đồng"))</f>
        <v>#REF!</v>
      </c>
      <c r="F44" s="202" t="e">
        <f>IF('[2]BĐC '!$D$6&gt;'[2]BĐC '!G30," Lợi thế hơn", IF('[2]BĐC '!$D$6&lt;'[2]BĐC '!G30, "Kém lợi thế hơn", "Tương đồng"))</f>
        <v>#REF!</v>
      </c>
      <c r="G44" s="340"/>
      <c r="I44" s="248"/>
      <c r="J44" s="248"/>
      <c r="K44" s="248"/>
    </row>
    <row r="45" spans="1:11">
      <c r="A45" s="235">
        <v>5</v>
      </c>
      <c r="B45" s="258" t="str">
        <f>'[2]BĐC '!B33</f>
        <v>Mặt tiền (m)</v>
      </c>
      <c r="C45" s="235"/>
      <c r="D45" s="202" t="e">
        <f>IF('[2]BĐC '!$D$6&gt;'[2]BĐC '!E34," Lợi thế hơn", IF('[2]BĐC '!$D$6&lt;'[2]BĐC '!E34, "Kém lợi thế hơn", "Tương đồng"))</f>
        <v>#REF!</v>
      </c>
      <c r="E45" s="202" t="e">
        <f>IF('[2]BĐC '!$D$6&gt;'[2]BĐC '!F34," Lợi thế hơn", IF('[2]BĐC '!$D$6&lt;'[2]BĐC '!F34, "Kém lợi thế hơn", "Tương đồng"))</f>
        <v>#REF!</v>
      </c>
      <c r="F45" s="202" t="e">
        <f>IF('[2]BĐC '!$D$6&gt;'[2]BĐC '!G34," Lợi thế hơn", IF('[2]BĐC '!$D$6&lt;'[2]BĐC '!G34, "Kém lợi thế hơn", "Tương đồng"))</f>
        <v>#REF!</v>
      </c>
      <c r="G45" s="340"/>
      <c r="I45" s="248"/>
      <c r="J45" s="248"/>
      <c r="K45" s="248"/>
    </row>
    <row r="46" spans="1:11" s="260" customFormat="1">
      <c r="A46" s="228">
        <v>9</v>
      </c>
      <c r="B46" s="259" t="str">
        <f>'[2]BĐC '!B37</f>
        <v>Chiều sâu (m)</v>
      </c>
      <c r="C46" s="228"/>
      <c r="D46" s="202" t="e">
        <f>IF('[2]BĐC '!$D$6&gt;'[2]BĐC '!E38," Lợi thế hơn", IF('[2]BĐC '!$D$6&lt;'[2]BĐC '!E38, "Kém lợi thế hơn", "Tương đồng"))</f>
        <v>#REF!</v>
      </c>
      <c r="E46" s="202" t="e">
        <f>IF('[2]BĐC '!$D$6&gt;'[2]BĐC '!F38," Lợi thế hơn", IF('[2]BĐC '!$D$6&lt;'[2]BĐC '!F38, "Kém lợi thế hơn", "Tương đồng"))</f>
        <v>#REF!</v>
      </c>
      <c r="F46" s="202" t="e">
        <f>IF('[2]BĐC '!$D$6&gt;'[2]BĐC '!G38," Lợi thế hơn", IF('[2]BĐC '!$D$6&lt;'[2]BĐC '!G38, "Kém lợi thế hơn", "Tương đồng"))</f>
        <v>#REF!</v>
      </c>
      <c r="G46" s="340"/>
      <c r="J46" s="248"/>
    </row>
    <row r="47" spans="1:11">
      <c r="A47" s="235">
        <v>6</v>
      </c>
      <c r="B47" s="258" t="str">
        <f>'[2]BĐC '!B41</f>
        <v>Số lượng mặt tiếp giáp</v>
      </c>
      <c r="C47" s="235"/>
      <c r="D47" s="202" t="e">
        <f>IF('[2]BĐC '!$D$6&gt;'[2]BĐC '!E42," Lợi thế hơn", IF('[2]BĐC '!$D$6&lt;'[2]BĐC '!E42, "Kém lợi thế hơn", "Tương đồng"))</f>
        <v>#REF!</v>
      </c>
      <c r="E47" s="202" t="e">
        <f>IF('[2]BĐC '!$D$6&gt;'[2]BĐC '!F42," Lợi thế hơn", IF('[2]BĐC '!$D$6&lt;'[2]BĐC '!F42, "Kém lợi thế hơn", "Tương đồng"))</f>
        <v>#REF!</v>
      </c>
      <c r="F47" s="202" t="e">
        <f>IF('[2]BĐC '!$D$6&gt;'[2]BĐC '!G42," Lợi thế hơn", IF('[2]BĐC '!$D$6&lt;'[2]BĐC '!G42, "Kém lợi thế hơn", "Tương đồng"))</f>
        <v>#REF!</v>
      </c>
      <c r="G47" s="340"/>
    </row>
    <row r="48" spans="1:11">
      <c r="A48" s="235">
        <v>7</v>
      </c>
      <c r="B48" s="258" t="str">
        <f>'[2]BĐC '!B45</f>
        <v>Hình dáng thửa đất</v>
      </c>
      <c r="C48" s="235"/>
      <c r="D48" s="202" t="e">
        <f>IF('[2]BĐC '!$D$6&gt;'[2]BĐC '!E46," Lợi thế hơn", IF('[2]BĐC '!$D$6&lt;'[2]BĐC '!E46, "Kém lợi thế hơn", "Tương đồng"))</f>
        <v>#REF!</v>
      </c>
      <c r="E48" s="202" t="e">
        <f>IF('[2]BĐC '!$D$6&gt;'[2]BĐC '!F46," Lợi thế hơn", IF('[2]BĐC '!$D$6&lt;'[2]BĐC '!F46, "Kém lợi thế hơn", "Tương đồng"))</f>
        <v>#REF!</v>
      </c>
      <c r="F48" s="202" t="e">
        <f>IF('[2]BĐC '!$D$6&gt;'[2]BĐC '!G46," Lợi thế hơn", IF('[2]BĐC '!$D$6&lt;'[2]BĐC '!G46, "Kém lợi thế hơn", "Tương đồng"))</f>
        <v>#REF!</v>
      </c>
      <c r="G48" s="340"/>
    </row>
    <row r="49" spans="1:12" ht="27.6">
      <c r="A49" s="235">
        <v>8</v>
      </c>
      <c r="B49" s="258" t="str">
        <f>'[2]BĐC '!B49</f>
        <v>Điều kiện môi trường an ninh</v>
      </c>
      <c r="C49" s="235"/>
      <c r="D49" s="202" t="e">
        <f>IF('[2]BĐC '!$D$6&gt;'[2]BĐC '!E50," Lợi thế hơn", IF('[2]BĐC '!$D$6&lt;'[2]BĐC '!E50, "Kém lợi thế hơn", "Tương đồng"))</f>
        <v>#REF!</v>
      </c>
      <c r="E49" s="202" t="e">
        <f>IF('[2]BĐC '!$D$6&gt;'[2]BĐC '!F50," Lợi thế hơn", IF('[2]BĐC '!$D$6&lt;'[2]BĐC '!F50, "Kém lợi thế hơn", "Tương đồng"))</f>
        <v>#REF!</v>
      </c>
      <c r="F49" s="202" t="e">
        <f>IF('[2]BĐC '!$D$6&gt;'[2]BĐC '!G50," Lợi thế hơn", IF('[2]BĐC '!$D$6&lt;'[2]BĐC '!G50, "Kém lợi thế hơn", "Tương đồng"))</f>
        <v>#REF!</v>
      </c>
      <c r="G49" s="340"/>
    </row>
    <row r="50" spans="1:12">
      <c r="A50" s="235">
        <v>13</v>
      </c>
      <c r="B50" s="258" t="str">
        <f>'[2]BĐC '!B53</f>
        <v>Yếu tố phong thủy</v>
      </c>
      <c r="C50" s="235"/>
      <c r="D50" s="202" t="e">
        <f>IF('[2]BĐC '!$D$6&gt;'[2]BĐC '!E54," Lợi thế hơn", IF('[2]BĐC '!$D$6&lt;'[2]BĐC '!E54, "Kém lợi thế hơn", "Tương đồng"))</f>
        <v>#REF!</v>
      </c>
      <c r="E50" s="202" t="e">
        <f>IF('[2]BĐC '!$D$6&gt;'[2]BĐC '!F54," Lợi thế hơn", IF('[2]BĐC '!$D$6&lt;'[2]BĐC '!F54, "Kém lợi thế hơn", "Tương đồng"))</f>
        <v>#REF!</v>
      </c>
      <c r="F50" s="202" t="e">
        <f>IF('[2]BĐC '!$D$6&gt;'[2]BĐC '!G54," Lợi thế hơn", IF('[2]BĐC '!$D$6&lt;'[2]BĐC '!G54, "Kém lợi thế hơn", "Tương đồng"))</f>
        <v>#REF!</v>
      </c>
      <c r="G50" s="340"/>
    </row>
    <row r="51" spans="1:12" ht="27.6">
      <c r="A51" s="235">
        <v>9</v>
      </c>
      <c r="B51" s="258" t="str">
        <f>'[2]BĐC '!B57</f>
        <v>Điều kiện cơ sở hạ tầng kỹ thuật</v>
      </c>
      <c r="C51" s="235"/>
      <c r="D51" s="202" t="e">
        <f>IF('[2]BĐC '!$D$6&gt;'[2]BĐC '!E58," Lợi thế hơn", IF('[2]BĐC '!$D$6&lt;'[2]BĐC '!E58, "Kém lợi thế hơn", "Tương đồng"))</f>
        <v>#REF!</v>
      </c>
      <c r="E51" s="202" t="e">
        <f>IF('[2]BĐC '!$D$6&gt;'[2]BĐC '!F58," Lợi thế hơn", IF('[2]BĐC '!$D$6&lt;'[2]BĐC '!F58, "Kém lợi thế hơn", "Tương đồng"))</f>
        <v>#REF!</v>
      </c>
      <c r="F51" s="202" t="e">
        <f>IF('[2]BĐC '!$D$6&gt;'[2]BĐC '!G58," Lợi thế hơn", IF('[2]BĐC '!$D$6&lt;'[2]BĐC '!G58, "Kém lợi thế hơn", "Tương đồng"))</f>
        <v>#REF!</v>
      </c>
      <c r="G51" s="340"/>
    </row>
    <row r="52" spans="1:12" ht="27.6">
      <c r="A52" s="235">
        <v>14</v>
      </c>
      <c r="B52" s="258" t="str">
        <f>'[2]BĐC '!B61</f>
        <v>Điều kiện môi trường an ninh</v>
      </c>
      <c r="C52" s="235"/>
      <c r="D52" s="202" t="e">
        <f>IF('[2]BĐC '!$D$6&gt;'[2]BĐC '!E62," Lợi thế hơn", IF('[2]BĐC '!$D$6&lt;'[2]BĐC '!E62, "Kém lợi thế hơn", "Tương đồng"))</f>
        <v>#REF!</v>
      </c>
      <c r="E52" s="202" t="e">
        <f>IF('[2]BĐC '!$D$6&gt;'[2]BĐC '!F62," Lợi thế hơn", IF('[2]BĐC '!$D$6&lt;'[2]BĐC '!F62, "Kém lợi thế hơn", "Tương đồng"))</f>
        <v>#REF!</v>
      </c>
      <c r="F52" s="202" t="e">
        <f>IF('[2]BĐC '!$D$6&gt;'[2]BĐC '!G62," Lợi thế hơn", IF('[2]BĐC '!$D$6&lt;'[2]BĐC '!G62, "Kém lợi thế hơn", "Tương đồng"))</f>
        <v>#REF!</v>
      </c>
      <c r="G52" s="340"/>
    </row>
    <row r="53" spans="1:12" s="121" customFormat="1">
      <c r="A53" s="120"/>
      <c r="C53" s="120"/>
      <c r="D53" s="120"/>
      <c r="E53" s="261"/>
      <c r="F53" s="262"/>
      <c r="G53" s="262"/>
      <c r="H53" s="214"/>
      <c r="I53" s="122"/>
      <c r="J53" s="122"/>
      <c r="K53" s="122"/>
      <c r="L53" s="122"/>
    </row>
    <row r="57" spans="1:12">
      <c r="F57" s="263"/>
      <c r="G57" s="263"/>
    </row>
    <row r="59" spans="1:12">
      <c r="F59" s="263"/>
      <c r="G59" s="263"/>
    </row>
    <row r="60" spans="1:12">
      <c r="F60" s="263"/>
      <c r="G60" s="263"/>
    </row>
    <row r="61" spans="1:12">
      <c r="F61" s="263"/>
      <c r="G61" s="263"/>
    </row>
    <row r="69" spans="4:4">
      <c r="D69" s="230">
        <f>6.25/37</f>
        <v>0.16891891891891891</v>
      </c>
    </row>
  </sheetData>
  <mergeCells count="2">
    <mergeCell ref="A2:F2"/>
    <mergeCell ref="A3:F3"/>
  </mergeCells>
  <phoneticPr fontId="21" type="noConversion"/>
  <pageMargins left="0.7" right="0.7" top="0.75" bottom="0.75" header="0.3" footer="0.3"/>
  <pageSetup paperSize="9" scale="7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3"/>
  <sheetViews>
    <sheetView zoomScaleNormal="100" workbookViewId="0">
      <pane ySplit="1" topLeftCell="A68" activePane="bottomLeft" state="frozen"/>
      <selection pane="bottomLeft" activeCell="H40" sqref="H40"/>
    </sheetView>
  </sheetViews>
  <sheetFormatPr defaultRowHeight="13.8"/>
  <cols>
    <col min="1" max="1" width="6.19921875" style="272" customWidth="1"/>
    <col min="2" max="2" width="21.3984375" style="272" customWidth="1"/>
    <col min="3" max="3" width="7.796875" style="272" customWidth="1"/>
    <col min="4" max="7" width="18.59765625" style="272" customWidth="1"/>
    <col min="8" max="8" width="11.296875" style="272" customWidth="1"/>
    <col min="9" max="244" width="8.69921875" style="272"/>
    <col min="245" max="245" width="4.09765625" style="272" customWidth="1"/>
    <col min="246" max="246" width="19.09765625" style="272" customWidth="1"/>
    <col min="247" max="247" width="6" style="272" customWidth="1"/>
    <col min="248" max="248" width="8.296875" style="272" customWidth="1"/>
    <col min="249" max="249" width="10.796875" style="272" customWidth="1"/>
    <col min="250" max="250" width="11" style="272" customWidth="1"/>
    <col min="251" max="251" width="10.796875" style="272" customWidth="1"/>
    <col min="252" max="252" width="9.765625E-2" style="272" customWidth="1"/>
    <col min="253" max="500" width="8.69921875" style="272"/>
    <col min="501" max="501" width="4.09765625" style="272" customWidth="1"/>
    <col min="502" max="502" width="19.09765625" style="272" customWidth="1"/>
    <col min="503" max="503" width="6" style="272" customWidth="1"/>
    <col min="504" max="504" width="8.296875" style="272" customWidth="1"/>
    <col min="505" max="505" width="10.796875" style="272" customWidth="1"/>
    <col min="506" max="506" width="11" style="272" customWidth="1"/>
    <col min="507" max="507" width="10.796875" style="272" customWidth="1"/>
    <col min="508" max="508" width="9.765625E-2" style="272" customWidth="1"/>
    <col min="509" max="756" width="8.69921875" style="272"/>
    <col min="757" max="757" width="4.09765625" style="272" customWidth="1"/>
    <col min="758" max="758" width="19.09765625" style="272" customWidth="1"/>
    <col min="759" max="759" width="6" style="272" customWidth="1"/>
    <col min="760" max="760" width="8.296875" style="272" customWidth="1"/>
    <col min="761" max="761" width="10.796875" style="272" customWidth="1"/>
    <col min="762" max="762" width="11" style="272" customWidth="1"/>
    <col min="763" max="763" width="10.796875" style="272" customWidth="1"/>
    <col min="764" max="764" width="9.765625E-2" style="272" customWidth="1"/>
    <col min="765" max="1012" width="8.69921875" style="272"/>
    <col min="1013" max="1013" width="4.09765625" style="272" customWidth="1"/>
    <col min="1014" max="1014" width="19.09765625" style="272" customWidth="1"/>
    <col min="1015" max="1015" width="6" style="272" customWidth="1"/>
    <col min="1016" max="1016" width="8.296875" style="272" customWidth="1"/>
    <col min="1017" max="1017" width="10.796875" style="272" customWidth="1"/>
    <col min="1018" max="1018" width="11" style="272" customWidth="1"/>
    <col min="1019" max="1019" width="10.796875" style="272" customWidth="1"/>
    <col min="1020" max="1020" width="9.765625E-2" style="272" customWidth="1"/>
    <col min="1021" max="1268" width="8.69921875" style="272"/>
    <col min="1269" max="1269" width="4.09765625" style="272" customWidth="1"/>
    <col min="1270" max="1270" width="19.09765625" style="272" customWidth="1"/>
    <col min="1271" max="1271" width="6" style="272" customWidth="1"/>
    <col min="1272" max="1272" width="8.296875" style="272" customWidth="1"/>
    <col min="1273" max="1273" width="10.796875" style="272" customWidth="1"/>
    <col min="1274" max="1274" width="11" style="272" customWidth="1"/>
    <col min="1275" max="1275" width="10.796875" style="272" customWidth="1"/>
    <col min="1276" max="1276" width="9.765625E-2" style="272" customWidth="1"/>
    <col min="1277" max="1524" width="8.69921875" style="272"/>
    <col min="1525" max="1525" width="4.09765625" style="272" customWidth="1"/>
    <col min="1526" max="1526" width="19.09765625" style="272" customWidth="1"/>
    <col min="1527" max="1527" width="6" style="272" customWidth="1"/>
    <col min="1528" max="1528" width="8.296875" style="272" customWidth="1"/>
    <col min="1529" max="1529" width="10.796875" style="272" customWidth="1"/>
    <col min="1530" max="1530" width="11" style="272" customWidth="1"/>
    <col min="1531" max="1531" width="10.796875" style="272" customWidth="1"/>
    <col min="1532" max="1532" width="9.765625E-2" style="272" customWidth="1"/>
    <col min="1533" max="1780" width="8.69921875" style="272"/>
    <col min="1781" max="1781" width="4.09765625" style="272" customWidth="1"/>
    <col min="1782" max="1782" width="19.09765625" style="272" customWidth="1"/>
    <col min="1783" max="1783" width="6" style="272" customWidth="1"/>
    <col min="1784" max="1784" width="8.296875" style="272" customWidth="1"/>
    <col min="1785" max="1785" width="10.796875" style="272" customWidth="1"/>
    <col min="1786" max="1786" width="11" style="272" customWidth="1"/>
    <col min="1787" max="1787" width="10.796875" style="272" customWidth="1"/>
    <col min="1788" max="1788" width="9.765625E-2" style="272" customWidth="1"/>
    <col min="1789" max="2036" width="8.69921875" style="272"/>
    <col min="2037" max="2037" width="4.09765625" style="272" customWidth="1"/>
    <col min="2038" max="2038" width="19.09765625" style="272" customWidth="1"/>
    <col min="2039" max="2039" width="6" style="272" customWidth="1"/>
    <col min="2040" max="2040" width="8.296875" style="272" customWidth="1"/>
    <col min="2041" max="2041" width="10.796875" style="272" customWidth="1"/>
    <col min="2042" max="2042" width="11" style="272" customWidth="1"/>
    <col min="2043" max="2043" width="10.796875" style="272" customWidth="1"/>
    <col min="2044" max="2044" width="9.765625E-2" style="272" customWidth="1"/>
    <col min="2045" max="2292" width="8.69921875" style="272"/>
    <col min="2293" max="2293" width="4.09765625" style="272" customWidth="1"/>
    <col min="2294" max="2294" width="19.09765625" style="272" customWidth="1"/>
    <col min="2295" max="2295" width="6" style="272" customWidth="1"/>
    <col min="2296" max="2296" width="8.296875" style="272" customWidth="1"/>
    <col min="2297" max="2297" width="10.796875" style="272" customWidth="1"/>
    <col min="2298" max="2298" width="11" style="272" customWidth="1"/>
    <col min="2299" max="2299" width="10.796875" style="272" customWidth="1"/>
    <col min="2300" max="2300" width="9.765625E-2" style="272" customWidth="1"/>
    <col min="2301" max="2548" width="8.69921875" style="272"/>
    <col min="2549" max="2549" width="4.09765625" style="272" customWidth="1"/>
    <col min="2550" max="2550" width="19.09765625" style="272" customWidth="1"/>
    <col min="2551" max="2551" width="6" style="272" customWidth="1"/>
    <col min="2552" max="2552" width="8.296875" style="272" customWidth="1"/>
    <col min="2553" max="2553" width="10.796875" style="272" customWidth="1"/>
    <col min="2554" max="2554" width="11" style="272" customWidth="1"/>
    <col min="2555" max="2555" width="10.796875" style="272" customWidth="1"/>
    <col min="2556" max="2556" width="9.765625E-2" style="272" customWidth="1"/>
    <col min="2557" max="2804" width="8.69921875" style="272"/>
    <col min="2805" max="2805" width="4.09765625" style="272" customWidth="1"/>
    <col min="2806" max="2806" width="19.09765625" style="272" customWidth="1"/>
    <col min="2807" max="2807" width="6" style="272" customWidth="1"/>
    <col min="2808" max="2808" width="8.296875" style="272" customWidth="1"/>
    <col min="2809" max="2809" width="10.796875" style="272" customWidth="1"/>
    <col min="2810" max="2810" width="11" style="272" customWidth="1"/>
    <col min="2811" max="2811" width="10.796875" style="272" customWidth="1"/>
    <col min="2812" max="2812" width="9.765625E-2" style="272" customWidth="1"/>
    <col min="2813" max="3060" width="8.69921875" style="272"/>
    <col min="3061" max="3061" width="4.09765625" style="272" customWidth="1"/>
    <col min="3062" max="3062" width="19.09765625" style="272" customWidth="1"/>
    <col min="3063" max="3063" width="6" style="272" customWidth="1"/>
    <col min="3064" max="3064" width="8.296875" style="272" customWidth="1"/>
    <col min="3065" max="3065" width="10.796875" style="272" customWidth="1"/>
    <col min="3066" max="3066" width="11" style="272" customWidth="1"/>
    <col min="3067" max="3067" width="10.796875" style="272" customWidth="1"/>
    <col min="3068" max="3068" width="9.765625E-2" style="272" customWidth="1"/>
    <col min="3069" max="3316" width="8.69921875" style="272"/>
    <col min="3317" max="3317" width="4.09765625" style="272" customWidth="1"/>
    <col min="3318" max="3318" width="19.09765625" style="272" customWidth="1"/>
    <col min="3319" max="3319" width="6" style="272" customWidth="1"/>
    <col min="3320" max="3320" width="8.296875" style="272" customWidth="1"/>
    <col min="3321" max="3321" width="10.796875" style="272" customWidth="1"/>
    <col min="3322" max="3322" width="11" style="272" customWidth="1"/>
    <col min="3323" max="3323" width="10.796875" style="272" customWidth="1"/>
    <col min="3324" max="3324" width="9.765625E-2" style="272" customWidth="1"/>
    <col min="3325" max="3572" width="8.69921875" style="272"/>
    <col min="3573" max="3573" width="4.09765625" style="272" customWidth="1"/>
    <col min="3574" max="3574" width="19.09765625" style="272" customWidth="1"/>
    <col min="3575" max="3575" width="6" style="272" customWidth="1"/>
    <col min="3576" max="3576" width="8.296875" style="272" customWidth="1"/>
    <col min="3577" max="3577" width="10.796875" style="272" customWidth="1"/>
    <col min="3578" max="3578" width="11" style="272" customWidth="1"/>
    <col min="3579" max="3579" width="10.796875" style="272" customWidth="1"/>
    <col min="3580" max="3580" width="9.765625E-2" style="272" customWidth="1"/>
    <col min="3581" max="3828" width="8.69921875" style="272"/>
    <col min="3829" max="3829" width="4.09765625" style="272" customWidth="1"/>
    <col min="3830" max="3830" width="19.09765625" style="272" customWidth="1"/>
    <col min="3831" max="3831" width="6" style="272" customWidth="1"/>
    <col min="3832" max="3832" width="8.296875" style="272" customWidth="1"/>
    <col min="3833" max="3833" width="10.796875" style="272" customWidth="1"/>
    <col min="3834" max="3834" width="11" style="272" customWidth="1"/>
    <col min="3835" max="3835" width="10.796875" style="272" customWidth="1"/>
    <col min="3836" max="3836" width="9.765625E-2" style="272" customWidth="1"/>
    <col min="3837" max="4084" width="8.69921875" style="272"/>
    <col min="4085" max="4085" width="4.09765625" style="272" customWidth="1"/>
    <col min="4086" max="4086" width="19.09765625" style="272" customWidth="1"/>
    <col min="4087" max="4087" width="6" style="272" customWidth="1"/>
    <col min="4088" max="4088" width="8.296875" style="272" customWidth="1"/>
    <col min="4089" max="4089" width="10.796875" style="272" customWidth="1"/>
    <col min="4090" max="4090" width="11" style="272" customWidth="1"/>
    <col min="4091" max="4091" width="10.796875" style="272" customWidth="1"/>
    <col min="4092" max="4092" width="9.765625E-2" style="272" customWidth="1"/>
    <col min="4093" max="4340" width="8.69921875" style="272"/>
    <col min="4341" max="4341" width="4.09765625" style="272" customWidth="1"/>
    <col min="4342" max="4342" width="19.09765625" style="272" customWidth="1"/>
    <col min="4343" max="4343" width="6" style="272" customWidth="1"/>
    <col min="4344" max="4344" width="8.296875" style="272" customWidth="1"/>
    <col min="4345" max="4345" width="10.796875" style="272" customWidth="1"/>
    <col min="4346" max="4346" width="11" style="272" customWidth="1"/>
    <col min="4347" max="4347" width="10.796875" style="272" customWidth="1"/>
    <col min="4348" max="4348" width="9.765625E-2" style="272" customWidth="1"/>
    <col min="4349" max="4596" width="8.69921875" style="272"/>
    <col min="4597" max="4597" width="4.09765625" style="272" customWidth="1"/>
    <col min="4598" max="4598" width="19.09765625" style="272" customWidth="1"/>
    <col min="4599" max="4599" width="6" style="272" customWidth="1"/>
    <col min="4600" max="4600" width="8.296875" style="272" customWidth="1"/>
    <col min="4601" max="4601" width="10.796875" style="272" customWidth="1"/>
    <col min="4602" max="4602" width="11" style="272" customWidth="1"/>
    <col min="4603" max="4603" width="10.796875" style="272" customWidth="1"/>
    <col min="4604" max="4604" width="9.765625E-2" style="272" customWidth="1"/>
    <col min="4605" max="4852" width="8.69921875" style="272"/>
    <col min="4853" max="4853" width="4.09765625" style="272" customWidth="1"/>
    <col min="4854" max="4854" width="19.09765625" style="272" customWidth="1"/>
    <col min="4855" max="4855" width="6" style="272" customWidth="1"/>
    <col min="4856" max="4856" width="8.296875" style="272" customWidth="1"/>
    <col min="4857" max="4857" width="10.796875" style="272" customWidth="1"/>
    <col min="4858" max="4858" width="11" style="272" customWidth="1"/>
    <col min="4859" max="4859" width="10.796875" style="272" customWidth="1"/>
    <col min="4860" max="4860" width="9.765625E-2" style="272" customWidth="1"/>
    <col min="4861" max="5108" width="8.69921875" style="272"/>
    <col min="5109" max="5109" width="4.09765625" style="272" customWidth="1"/>
    <col min="5110" max="5110" width="19.09765625" style="272" customWidth="1"/>
    <col min="5111" max="5111" width="6" style="272" customWidth="1"/>
    <col min="5112" max="5112" width="8.296875" style="272" customWidth="1"/>
    <col min="5113" max="5113" width="10.796875" style="272" customWidth="1"/>
    <col min="5114" max="5114" width="11" style="272" customWidth="1"/>
    <col min="5115" max="5115" width="10.796875" style="272" customWidth="1"/>
    <col min="5116" max="5116" width="9.765625E-2" style="272" customWidth="1"/>
    <col min="5117" max="5364" width="8.69921875" style="272"/>
    <col min="5365" max="5365" width="4.09765625" style="272" customWidth="1"/>
    <col min="5366" max="5366" width="19.09765625" style="272" customWidth="1"/>
    <col min="5367" max="5367" width="6" style="272" customWidth="1"/>
    <col min="5368" max="5368" width="8.296875" style="272" customWidth="1"/>
    <col min="5369" max="5369" width="10.796875" style="272" customWidth="1"/>
    <col min="5370" max="5370" width="11" style="272" customWidth="1"/>
    <col min="5371" max="5371" width="10.796875" style="272" customWidth="1"/>
    <col min="5372" max="5372" width="9.765625E-2" style="272" customWidth="1"/>
    <col min="5373" max="5620" width="8.69921875" style="272"/>
    <col min="5621" max="5621" width="4.09765625" style="272" customWidth="1"/>
    <col min="5622" max="5622" width="19.09765625" style="272" customWidth="1"/>
    <col min="5623" max="5623" width="6" style="272" customWidth="1"/>
    <col min="5624" max="5624" width="8.296875" style="272" customWidth="1"/>
    <col min="5625" max="5625" width="10.796875" style="272" customWidth="1"/>
    <col min="5626" max="5626" width="11" style="272" customWidth="1"/>
    <col min="5627" max="5627" width="10.796875" style="272" customWidth="1"/>
    <col min="5628" max="5628" width="9.765625E-2" style="272" customWidth="1"/>
    <col min="5629" max="5876" width="8.69921875" style="272"/>
    <col min="5877" max="5877" width="4.09765625" style="272" customWidth="1"/>
    <col min="5878" max="5878" width="19.09765625" style="272" customWidth="1"/>
    <col min="5879" max="5879" width="6" style="272" customWidth="1"/>
    <col min="5880" max="5880" width="8.296875" style="272" customWidth="1"/>
    <col min="5881" max="5881" width="10.796875" style="272" customWidth="1"/>
    <col min="5882" max="5882" width="11" style="272" customWidth="1"/>
    <col min="5883" max="5883" width="10.796875" style="272" customWidth="1"/>
    <col min="5884" max="5884" width="9.765625E-2" style="272" customWidth="1"/>
    <col min="5885" max="6132" width="8.69921875" style="272"/>
    <col min="6133" max="6133" width="4.09765625" style="272" customWidth="1"/>
    <col min="6134" max="6134" width="19.09765625" style="272" customWidth="1"/>
    <col min="6135" max="6135" width="6" style="272" customWidth="1"/>
    <col min="6136" max="6136" width="8.296875" style="272" customWidth="1"/>
    <col min="6137" max="6137" width="10.796875" style="272" customWidth="1"/>
    <col min="6138" max="6138" width="11" style="272" customWidth="1"/>
    <col min="6139" max="6139" width="10.796875" style="272" customWidth="1"/>
    <col min="6140" max="6140" width="9.765625E-2" style="272" customWidth="1"/>
    <col min="6141" max="6388" width="8.69921875" style="272"/>
    <col min="6389" max="6389" width="4.09765625" style="272" customWidth="1"/>
    <col min="6390" max="6390" width="19.09765625" style="272" customWidth="1"/>
    <col min="6391" max="6391" width="6" style="272" customWidth="1"/>
    <col min="6392" max="6392" width="8.296875" style="272" customWidth="1"/>
    <col min="6393" max="6393" width="10.796875" style="272" customWidth="1"/>
    <col min="6394" max="6394" width="11" style="272" customWidth="1"/>
    <col min="6395" max="6395" width="10.796875" style="272" customWidth="1"/>
    <col min="6396" max="6396" width="9.765625E-2" style="272" customWidth="1"/>
    <col min="6397" max="6644" width="8.69921875" style="272"/>
    <col min="6645" max="6645" width="4.09765625" style="272" customWidth="1"/>
    <col min="6646" max="6646" width="19.09765625" style="272" customWidth="1"/>
    <col min="6647" max="6647" width="6" style="272" customWidth="1"/>
    <col min="6648" max="6648" width="8.296875" style="272" customWidth="1"/>
    <col min="6649" max="6649" width="10.796875" style="272" customWidth="1"/>
    <col min="6650" max="6650" width="11" style="272" customWidth="1"/>
    <col min="6651" max="6651" width="10.796875" style="272" customWidth="1"/>
    <col min="6652" max="6652" width="9.765625E-2" style="272" customWidth="1"/>
    <col min="6653" max="6900" width="8.69921875" style="272"/>
    <col min="6901" max="6901" width="4.09765625" style="272" customWidth="1"/>
    <col min="6902" max="6902" width="19.09765625" style="272" customWidth="1"/>
    <col min="6903" max="6903" width="6" style="272" customWidth="1"/>
    <col min="6904" max="6904" width="8.296875" style="272" customWidth="1"/>
    <col min="6905" max="6905" width="10.796875" style="272" customWidth="1"/>
    <col min="6906" max="6906" width="11" style="272" customWidth="1"/>
    <col min="6907" max="6907" width="10.796875" style="272" customWidth="1"/>
    <col min="6908" max="6908" width="9.765625E-2" style="272" customWidth="1"/>
    <col min="6909" max="7156" width="8.69921875" style="272"/>
    <col min="7157" max="7157" width="4.09765625" style="272" customWidth="1"/>
    <col min="7158" max="7158" width="19.09765625" style="272" customWidth="1"/>
    <col min="7159" max="7159" width="6" style="272" customWidth="1"/>
    <col min="7160" max="7160" width="8.296875" style="272" customWidth="1"/>
    <col min="7161" max="7161" width="10.796875" style="272" customWidth="1"/>
    <col min="7162" max="7162" width="11" style="272" customWidth="1"/>
    <col min="7163" max="7163" width="10.796875" style="272" customWidth="1"/>
    <col min="7164" max="7164" width="9.765625E-2" style="272" customWidth="1"/>
    <col min="7165" max="7412" width="8.69921875" style="272"/>
    <col min="7413" max="7413" width="4.09765625" style="272" customWidth="1"/>
    <col min="7414" max="7414" width="19.09765625" style="272" customWidth="1"/>
    <col min="7415" max="7415" width="6" style="272" customWidth="1"/>
    <col min="7416" max="7416" width="8.296875" style="272" customWidth="1"/>
    <col min="7417" max="7417" width="10.796875" style="272" customWidth="1"/>
    <col min="7418" max="7418" width="11" style="272" customWidth="1"/>
    <col min="7419" max="7419" width="10.796875" style="272" customWidth="1"/>
    <col min="7420" max="7420" width="9.765625E-2" style="272" customWidth="1"/>
    <col min="7421" max="7668" width="8.69921875" style="272"/>
    <col min="7669" max="7669" width="4.09765625" style="272" customWidth="1"/>
    <col min="7670" max="7670" width="19.09765625" style="272" customWidth="1"/>
    <col min="7671" max="7671" width="6" style="272" customWidth="1"/>
    <col min="7672" max="7672" width="8.296875" style="272" customWidth="1"/>
    <col min="7673" max="7673" width="10.796875" style="272" customWidth="1"/>
    <col min="7674" max="7674" width="11" style="272" customWidth="1"/>
    <col min="7675" max="7675" width="10.796875" style="272" customWidth="1"/>
    <col min="7676" max="7676" width="9.765625E-2" style="272" customWidth="1"/>
    <col min="7677" max="7924" width="8.69921875" style="272"/>
    <col min="7925" max="7925" width="4.09765625" style="272" customWidth="1"/>
    <col min="7926" max="7926" width="19.09765625" style="272" customWidth="1"/>
    <col min="7927" max="7927" width="6" style="272" customWidth="1"/>
    <col min="7928" max="7928" width="8.296875" style="272" customWidth="1"/>
    <col min="7929" max="7929" width="10.796875" style="272" customWidth="1"/>
    <col min="7930" max="7930" width="11" style="272" customWidth="1"/>
    <col min="7931" max="7931" width="10.796875" style="272" customWidth="1"/>
    <col min="7932" max="7932" width="9.765625E-2" style="272" customWidth="1"/>
    <col min="7933" max="8180" width="8.69921875" style="272"/>
    <col min="8181" max="8181" width="4.09765625" style="272" customWidth="1"/>
    <col min="8182" max="8182" width="19.09765625" style="272" customWidth="1"/>
    <col min="8183" max="8183" width="6" style="272" customWidth="1"/>
    <col min="8184" max="8184" width="8.296875" style="272" customWidth="1"/>
    <col min="8185" max="8185" width="10.796875" style="272" customWidth="1"/>
    <col min="8186" max="8186" width="11" style="272" customWidth="1"/>
    <col min="8187" max="8187" width="10.796875" style="272" customWidth="1"/>
    <col min="8188" max="8188" width="9.765625E-2" style="272" customWidth="1"/>
    <col min="8189" max="8436" width="8.69921875" style="272"/>
    <col min="8437" max="8437" width="4.09765625" style="272" customWidth="1"/>
    <col min="8438" max="8438" width="19.09765625" style="272" customWidth="1"/>
    <col min="8439" max="8439" width="6" style="272" customWidth="1"/>
    <col min="8440" max="8440" width="8.296875" style="272" customWidth="1"/>
    <col min="8441" max="8441" width="10.796875" style="272" customWidth="1"/>
    <col min="8442" max="8442" width="11" style="272" customWidth="1"/>
    <col min="8443" max="8443" width="10.796875" style="272" customWidth="1"/>
    <col min="8444" max="8444" width="9.765625E-2" style="272" customWidth="1"/>
    <col min="8445" max="8692" width="8.69921875" style="272"/>
    <col min="8693" max="8693" width="4.09765625" style="272" customWidth="1"/>
    <col min="8694" max="8694" width="19.09765625" style="272" customWidth="1"/>
    <col min="8695" max="8695" width="6" style="272" customWidth="1"/>
    <col min="8696" max="8696" width="8.296875" style="272" customWidth="1"/>
    <col min="8697" max="8697" width="10.796875" style="272" customWidth="1"/>
    <col min="8698" max="8698" width="11" style="272" customWidth="1"/>
    <col min="8699" max="8699" width="10.796875" style="272" customWidth="1"/>
    <col min="8700" max="8700" width="9.765625E-2" style="272" customWidth="1"/>
    <col min="8701" max="8948" width="8.69921875" style="272"/>
    <col min="8949" max="8949" width="4.09765625" style="272" customWidth="1"/>
    <col min="8950" max="8950" width="19.09765625" style="272" customWidth="1"/>
    <col min="8951" max="8951" width="6" style="272" customWidth="1"/>
    <col min="8952" max="8952" width="8.296875" style="272" customWidth="1"/>
    <col min="8953" max="8953" width="10.796875" style="272" customWidth="1"/>
    <col min="8954" max="8954" width="11" style="272" customWidth="1"/>
    <col min="8955" max="8955" width="10.796875" style="272" customWidth="1"/>
    <col min="8956" max="8956" width="9.765625E-2" style="272" customWidth="1"/>
    <col min="8957" max="9204" width="8.69921875" style="272"/>
    <col min="9205" max="9205" width="4.09765625" style="272" customWidth="1"/>
    <col min="9206" max="9206" width="19.09765625" style="272" customWidth="1"/>
    <col min="9207" max="9207" width="6" style="272" customWidth="1"/>
    <col min="9208" max="9208" width="8.296875" style="272" customWidth="1"/>
    <col min="9209" max="9209" width="10.796875" style="272" customWidth="1"/>
    <col min="9210" max="9210" width="11" style="272" customWidth="1"/>
    <col min="9211" max="9211" width="10.796875" style="272" customWidth="1"/>
    <col min="9212" max="9212" width="9.765625E-2" style="272" customWidth="1"/>
    <col min="9213" max="9460" width="8.69921875" style="272"/>
    <col min="9461" max="9461" width="4.09765625" style="272" customWidth="1"/>
    <col min="9462" max="9462" width="19.09765625" style="272" customWidth="1"/>
    <col min="9463" max="9463" width="6" style="272" customWidth="1"/>
    <col min="9464" max="9464" width="8.296875" style="272" customWidth="1"/>
    <col min="9465" max="9465" width="10.796875" style="272" customWidth="1"/>
    <col min="9466" max="9466" width="11" style="272" customWidth="1"/>
    <col min="9467" max="9467" width="10.796875" style="272" customWidth="1"/>
    <col min="9468" max="9468" width="9.765625E-2" style="272" customWidth="1"/>
    <col min="9469" max="9716" width="8.69921875" style="272"/>
    <col min="9717" max="9717" width="4.09765625" style="272" customWidth="1"/>
    <col min="9718" max="9718" width="19.09765625" style="272" customWidth="1"/>
    <col min="9719" max="9719" width="6" style="272" customWidth="1"/>
    <col min="9720" max="9720" width="8.296875" style="272" customWidth="1"/>
    <col min="9721" max="9721" width="10.796875" style="272" customWidth="1"/>
    <col min="9722" max="9722" width="11" style="272" customWidth="1"/>
    <col min="9723" max="9723" width="10.796875" style="272" customWidth="1"/>
    <col min="9724" max="9724" width="9.765625E-2" style="272" customWidth="1"/>
    <col min="9725" max="9972" width="8.69921875" style="272"/>
    <col min="9973" max="9973" width="4.09765625" style="272" customWidth="1"/>
    <col min="9974" max="9974" width="19.09765625" style="272" customWidth="1"/>
    <col min="9975" max="9975" width="6" style="272" customWidth="1"/>
    <col min="9976" max="9976" width="8.296875" style="272" customWidth="1"/>
    <col min="9977" max="9977" width="10.796875" style="272" customWidth="1"/>
    <col min="9978" max="9978" width="11" style="272" customWidth="1"/>
    <col min="9979" max="9979" width="10.796875" style="272" customWidth="1"/>
    <col min="9980" max="9980" width="9.765625E-2" style="272" customWidth="1"/>
    <col min="9981" max="10228" width="8.69921875" style="272"/>
    <col min="10229" max="10229" width="4.09765625" style="272" customWidth="1"/>
    <col min="10230" max="10230" width="19.09765625" style="272" customWidth="1"/>
    <col min="10231" max="10231" width="6" style="272" customWidth="1"/>
    <col min="10232" max="10232" width="8.296875" style="272" customWidth="1"/>
    <col min="10233" max="10233" width="10.796875" style="272" customWidth="1"/>
    <col min="10234" max="10234" width="11" style="272" customWidth="1"/>
    <col min="10235" max="10235" width="10.796875" style="272" customWidth="1"/>
    <col min="10236" max="10236" width="9.765625E-2" style="272" customWidth="1"/>
    <col min="10237" max="10484" width="8.69921875" style="272"/>
    <col min="10485" max="10485" width="4.09765625" style="272" customWidth="1"/>
    <col min="10486" max="10486" width="19.09765625" style="272" customWidth="1"/>
    <col min="10487" max="10487" width="6" style="272" customWidth="1"/>
    <col min="10488" max="10488" width="8.296875" style="272" customWidth="1"/>
    <col min="10489" max="10489" width="10.796875" style="272" customWidth="1"/>
    <col min="10490" max="10490" width="11" style="272" customWidth="1"/>
    <col min="10491" max="10491" width="10.796875" style="272" customWidth="1"/>
    <col min="10492" max="10492" width="9.765625E-2" style="272" customWidth="1"/>
    <col min="10493" max="10740" width="8.69921875" style="272"/>
    <col min="10741" max="10741" width="4.09765625" style="272" customWidth="1"/>
    <col min="10742" max="10742" width="19.09765625" style="272" customWidth="1"/>
    <col min="10743" max="10743" width="6" style="272" customWidth="1"/>
    <col min="10744" max="10744" width="8.296875" style="272" customWidth="1"/>
    <col min="10745" max="10745" width="10.796875" style="272" customWidth="1"/>
    <col min="10746" max="10746" width="11" style="272" customWidth="1"/>
    <col min="10747" max="10747" width="10.796875" style="272" customWidth="1"/>
    <col min="10748" max="10748" width="9.765625E-2" style="272" customWidth="1"/>
    <col min="10749" max="10996" width="8.69921875" style="272"/>
    <col min="10997" max="10997" width="4.09765625" style="272" customWidth="1"/>
    <col min="10998" max="10998" width="19.09765625" style="272" customWidth="1"/>
    <col min="10999" max="10999" width="6" style="272" customWidth="1"/>
    <col min="11000" max="11000" width="8.296875" style="272" customWidth="1"/>
    <col min="11001" max="11001" width="10.796875" style="272" customWidth="1"/>
    <col min="11002" max="11002" width="11" style="272" customWidth="1"/>
    <col min="11003" max="11003" width="10.796875" style="272" customWidth="1"/>
    <col min="11004" max="11004" width="9.765625E-2" style="272" customWidth="1"/>
    <col min="11005" max="11252" width="8.69921875" style="272"/>
    <col min="11253" max="11253" width="4.09765625" style="272" customWidth="1"/>
    <col min="11254" max="11254" width="19.09765625" style="272" customWidth="1"/>
    <col min="11255" max="11255" width="6" style="272" customWidth="1"/>
    <col min="11256" max="11256" width="8.296875" style="272" customWidth="1"/>
    <col min="11257" max="11257" width="10.796875" style="272" customWidth="1"/>
    <col min="11258" max="11258" width="11" style="272" customWidth="1"/>
    <col min="11259" max="11259" width="10.796875" style="272" customWidth="1"/>
    <col min="11260" max="11260" width="9.765625E-2" style="272" customWidth="1"/>
    <col min="11261" max="11508" width="8.69921875" style="272"/>
    <col min="11509" max="11509" width="4.09765625" style="272" customWidth="1"/>
    <col min="11510" max="11510" width="19.09765625" style="272" customWidth="1"/>
    <col min="11511" max="11511" width="6" style="272" customWidth="1"/>
    <col min="11512" max="11512" width="8.296875" style="272" customWidth="1"/>
    <col min="11513" max="11513" width="10.796875" style="272" customWidth="1"/>
    <col min="11514" max="11514" width="11" style="272" customWidth="1"/>
    <col min="11515" max="11515" width="10.796875" style="272" customWidth="1"/>
    <col min="11516" max="11516" width="9.765625E-2" style="272" customWidth="1"/>
    <col min="11517" max="11764" width="8.69921875" style="272"/>
    <col min="11765" max="11765" width="4.09765625" style="272" customWidth="1"/>
    <col min="11766" max="11766" width="19.09765625" style="272" customWidth="1"/>
    <col min="11767" max="11767" width="6" style="272" customWidth="1"/>
    <col min="11768" max="11768" width="8.296875" style="272" customWidth="1"/>
    <col min="11769" max="11769" width="10.796875" style="272" customWidth="1"/>
    <col min="11770" max="11770" width="11" style="272" customWidth="1"/>
    <col min="11771" max="11771" width="10.796875" style="272" customWidth="1"/>
    <col min="11772" max="11772" width="9.765625E-2" style="272" customWidth="1"/>
    <col min="11773" max="12020" width="8.69921875" style="272"/>
    <col min="12021" max="12021" width="4.09765625" style="272" customWidth="1"/>
    <col min="12022" max="12022" width="19.09765625" style="272" customWidth="1"/>
    <col min="12023" max="12023" width="6" style="272" customWidth="1"/>
    <col min="12024" max="12024" width="8.296875" style="272" customWidth="1"/>
    <col min="12025" max="12025" width="10.796875" style="272" customWidth="1"/>
    <col min="12026" max="12026" width="11" style="272" customWidth="1"/>
    <col min="12027" max="12027" width="10.796875" style="272" customWidth="1"/>
    <col min="12028" max="12028" width="9.765625E-2" style="272" customWidth="1"/>
    <col min="12029" max="12276" width="8.69921875" style="272"/>
    <col min="12277" max="12277" width="4.09765625" style="272" customWidth="1"/>
    <col min="12278" max="12278" width="19.09765625" style="272" customWidth="1"/>
    <col min="12279" max="12279" width="6" style="272" customWidth="1"/>
    <col min="12280" max="12280" width="8.296875" style="272" customWidth="1"/>
    <col min="12281" max="12281" width="10.796875" style="272" customWidth="1"/>
    <col min="12282" max="12282" width="11" style="272" customWidth="1"/>
    <col min="12283" max="12283" width="10.796875" style="272" customWidth="1"/>
    <col min="12284" max="12284" width="9.765625E-2" style="272" customWidth="1"/>
    <col min="12285" max="12532" width="8.69921875" style="272"/>
    <col min="12533" max="12533" width="4.09765625" style="272" customWidth="1"/>
    <col min="12534" max="12534" width="19.09765625" style="272" customWidth="1"/>
    <col min="12535" max="12535" width="6" style="272" customWidth="1"/>
    <col min="12536" max="12536" width="8.296875" style="272" customWidth="1"/>
    <col min="12537" max="12537" width="10.796875" style="272" customWidth="1"/>
    <col min="12538" max="12538" width="11" style="272" customWidth="1"/>
    <col min="12539" max="12539" width="10.796875" style="272" customWidth="1"/>
    <col min="12540" max="12540" width="9.765625E-2" style="272" customWidth="1"/>
    <col min="12541" max="12788" width="8.69921875" style="272"/>
    <col min="12789" max="12789" width="4.09765625" style="272" customWidth="1"/>
    <col min="12790" max="12790" width="19.09765625" style="272" customWidth="1"/>
    <col min="12791" max="12791" width="6" style="272" customWidth="1"/>
    <col min="12792" max="12792" width="8.296875" style="272" customWidth="1"/>
    <col min="12793" max="12793" width="10.796875" style="272" customWidth="1"/>
    <col min="12794" max="12794" width="11" style="272" customWidth="1"/>
    <col min="12795" max="12795" width="10.796875" style="272" customWidth="1"/>
    <col min="12796" max="12796" width="9.765625E-2" style="272" customWidth="1"/>
    <col min="12797" max="13044" width="8.69921875" style="272"/>
    <col min="13045" max="13045" width="4.09765625" style="272" customWidth="1"/>
    <col min="13046" max="13046" width="19.09765625" style="272" customWidth="1"/>
    <col min="13047" max="13047" width="6" style="272" customWidth="1"/>
    <col min="13048" max="13048" width="8.296875" style="272" customWidth="1"/>
    <col min="13049" max="13049" width="10.796875" style="272" customWidth="1"/>
    <col min="13050" max="13050" width="11" style="272" customWidth="1"/>
    <col min="13051" max="13051" width="10.796875" style="272" customWidth="1"/>
    <col min="13052" max="13052" width="9.765625E-2" style="272" customWidth="1"/>
    <col min="13053" max="13300" width="8.69921875" style="272"/>
    <col min="13301" max="13301" width="4.09765625" style="272" customWidth="1"/>
    <col min="13302" max="13302" width="19.09765625" style="272" customWidth="1"/>
    <col min="13303" max="13303" width="6" style="272" customWidth="1"/>
    <col min="13304" max="13304" width="8.296875" style="272" customWidth="1"/>
    <col min="13305" max="13305" width="10.796875" style="272" customWidth="1"/>
    <col min="13306" max="13306" width="11" style="272" customWidth="1"/>
    <col min="13307" max="13307" width="10.796875" style="272" customWidth="1"/>
    <col min="13308" max="13308" width="9.765625E-2" style="272" customWidth="1"/>
    <col min="13309" max="13556" width="8.69921875" style="272"/>
    <col min="13557" max="13557" width="4.09765625" style="272" customWidth="1"/>
    <col min="13558" max="13558" width="19.09765625" style="272" customWidth="1"/>
    <col min="13559" max="13559" width="6" style="272" customWidth="1"/>
    <col min="13560" max="13560" width="8.296875" style="272" customWidth="1"/>
    <col min="13561" max="13561" width="10.796875" style="272" customWidth="1"/>
    <col min="13562" max="13562" width="11" style="272" customWidth="1"/>
    <col min="13563" max="13563" width="10.796875" style="272" customWidth="1"/>
    <col min="13564" max="13564" width="9.765625E-2" style="272" customWidth="1"/>
    <col min="13565" max="13812" width="8.69921875" style="272"/>
    <col min="13813" max="13813" width="4.09765625" style="272" customWidth="1"/>
    <col min="13814" max="13814" width="19.09765625" style="272" customWidth="1"/>
    <col min="13815" max="13815" width="6" style="272" customWidth="1"/>
    <col min="13816" max="13816" width="8.296875" style="272" customWidth="1"/>
    <col min="13817" max="13817" width="10.796875" style="272" customWidth="1"/>
    <col min="13818" max="13818" width="11" style="272" customWidth="1"/>
    <col min="13819" max="13819" width="10.796875" style="272" customWidth="1"/>
    <col min="13820" max="13820" width="9.765625E-2" style="272" customWidth="1"/>
    <col min="13821" max="14068" width="8.69921875" style="272"/>
    <col min="14069" max="14069" width="4.09765625" style="272" customWidth="1"/>
    <col min="14070" max="14070" width="19.09765625" style="272" customWidth="1"/>
    <col min="14071" max="14071" width="6" style="272" customWidth="1"/>
    <col min="14072" max="14072" width="8.296875" style="272" customWidth="1"/>
    <col min="14073" max="14073" width="10.796875" style="272" customWidth="1"/>
    <col min="14074" max="14074" width="11" style="272" customWidth="1"/>
    <col min="14075" max="14075" width="10.796875" style="272" customWidth="1"/>
    <col min="14076" max="14076" width="9.765625E-2" style="272" customWidth="1"/>
    <col min="14077" max="14324" width="8.69921875" style="272"/>
    <col min="14325" max="14325" width="4.09765625" style="272" customWidth="1"/>
    <col min="14326" max="14326" width="19.09765625" style="272" customWidth="1"/>
    <col min="14327" max="14327" width="6" style="272" customWidth="1"/>
    <col min="14328" max="14328" width="8.296875" style="272" customWidth="1"/>
    <col min="14329" max="14329" width="10.796875" style="272" customWidth="1"/>
    <col min="14330" max="14330" width="11" style="272" customWidth="1"/>
    <col min="14331" max="14331" width="10.796875" style="272" customWidth="1"/>
    <col min="14332" max="14332" width="9.765625E-2" style="272" customWidth="1"/>
    <col min="14333" max="14580" width="8.69921875" style="272"/>
    <col min="14581" max="14581" width="4.09765625" style="272" customWidth="1"/>
    <col min="14582" max="14582" width="19.09765625" style="272" customWidth="1"/>
    <col min="14583" max="14583" width="6" style="272" customWidth="1"/>
    <col min="14584" max="14584" width="8.296875" style="272" customWidth="1"/>
    <col min="14585" max="14585" width="10.796875" style="272" customWidth="1"/>
    <col min="14586" max="14586" width="11" style="272" customWidth="1"/>
    <col min="14587" max="14587" width="10.796875" style="272" customWidth="1"/>
    <col min="14588" max="14588" width="9.765625E-2" style="272" customWidth="1"/>
    <col min="14589" max="14836" width="8.69921875" style="272"/>
    <col min="14837" max="14837" width="4.09765625" style="272" customWidth="1"/>
    <col min="14838" max="14838" width="19.09765625" style="272" customWidth="1"/>
    <col min="14839" max="14839" width="6" style="272" customWidth="1"/>
    <col min="14840" max="14840" width="8.296875" style="272" customWidth="1"/>
    <col min="14841" max="14841" width="10.796875" style="272" customWidth="1"/>
    <col min="14842" max="14842" width="11" style="272" customWidth="1"/>
    <col min="14843" max="14843" width="10.796875" style="272" customWidth="1"/>
    <col min="14844" max="14844" width="9.765625E-2" style="272" customWidth="1"/>
    <col min="14845" max="15092" width="8.69921875" style="272"/>
    <col min="15093" max="15093" width="4.09765625" style="272" customWidth="1"/>
    <col min="15094" max="15094" width="19.09765625" style="272" customWidth="1"/>
    <col min="15095" max="15095" width="6" style="272" customWidth="1"/>
    <col min="15096" max="15096" width="8.296875" style="272" customWidth="1"/>
    <col min="15097" max="15097" width="10.796875" style="272" customWidth="1"/>
    <col min="15098" max="15098" width="11" style="272" customWidth="1"/>
    <col min="15099" max="15099" width="10.796875" style="272" customWidth="1"/>
    <col min="15100" max="15100" width="9.765625E-2" style="272" customWidth="1"/>
    <col min="15101" max="15348" width="8.69921875" style="272"/>
    <col min="15349" max="15349" width="4.09765625" style="272" customWidth="1"/>
    <col min="15350" max="15350" width="19.09765625" style="272" customWidth="1"/>
    <col min="15351" max="15351" width="6" style="272" customWidth="1"/>
    <col min="15352" max="15352" width="8.296875" style="272" customWidth="1"/>
    <col min="15353" max="15353" width="10.796875" style="272" customWidth="1"/>
    <col min="15354" max="15354" width="11" style="272" customWidth="1"/>
    <col min="15355" max="15355" width="10.796875" style="272" customWidth="1"/>
    <col min="15356" max="15356" width="9.765625E-2" style="272" customWidth="1"/>
    <col min="15357" max="15604" width="8.69921875" style="272"/>
    <col min="15605" max="15605" width="4.09765625" style="272" customWidth="1"/>
    <col min="15606" max="15606" width="19.09765625" style="272" customWidth="1"/>
    <col min="15607" max="15607" width="6" style="272" customWidth="1"/>
    <col min="15608" max="15608" width="8.296875" style="272" customWidth="1"/>
    <col min="15609" max="15609" width="10.796875" style="272" customWidth="1"/>
    <col min="15610" max="15610" width="11" style="272" customWidth="1"/>
    <col min="15611" max="15611" width="10.796875" style="272" customWidth="1"/>
    <col min="15612" max="15612" width="9.765625E-2" style="272" customWidth="1"/>
    <col min="15613" max="15860" width="8.69921875" style="272"/>
    <col min="15861" max="15861" width="4.09765625" style="272" customWidth="1"/>
    <col min="15862" max="15862" width="19.09765625" style="272" customWidth="1"/>
    <col min="15863" max="15863" width="6" style="272" customWidth="1"/>
    <col min="15864" max="15864" width="8.296875" style="272" customWidth="1"/>
    <col min="15865" max="15865" width="10.796875" style="272" customWidth="1"/>
    <col min="15866" max="15866" width="11" style="272" customWidth="1"/>
    <col min="15867" max="15867" width="10.796875" style="272" customWidth="1"/>
    <col min="15868" max="15868" width="9.765625E-2" style="272" customWidth="1"/>
    <col min="15869" max="16116" width="8.69921875" style="272"/>
    <col min="16117" max="16117" width="4.09765625" style="272" customWidth="1"/>
    <col min="16118" max="16118" width="19.09765625" style="272" customWidth="1"/>
    <col min="16119" max="16119" width="6" style="272" customWidth="1"/>
    <col min="16120" max="16120" width="8.296875" style="272" customWidth="1"/>
    <col min="16121" max="16121" width="10.796875" style="272" customWidth="1"/>
    <col min="16122" max="16122" width="11" style="272" customWidth="1"/>
    <col min="16123" max="16123" width="10.796875" style="272" customWidth="1"/>
    <col min="16124" max="16124" width="9.765625E-2" style="272" customWidth="1"/>
    <col min="16125" max="16373" width="8.69921875" style="272"/>
    <col min="16374" max="16384" width="9" style="272" customWidth="1"/>
  </cols>
  <sheetData>
    <row r="1" spans="1:11" ht="27.6">
      <c r="A1" s="271" t="s">
        <v>121</v>
      </c>
      <c r="B1" s="271" t="s">
        <v>8</v>
      </c>
      <c r="C1" s="271" t="s">
        <v>9</v>
      </c>
      <c r="D1" s="271" t="str">
        <f>'[2]TSSS '!C18</f>
        <v>TSTĐ</v>
      </c>
      <c r="E1" s="271" t="str">
        <f>'[2]TSSS '!D18</f>
        <v>TSSS1</v>
      </c>
      <c r="F1" s="271" t="str">
        <f>'[2]TSSS '!E18</f>
        <v>TSSS2</v>
      </c>
      <c r="G1" s="271" t="str">
        <f>'[2]TSSS '!F18</f>
        <v>TSSS3</v>
      </c>
    </row>
    <row r="2" spans="1:11" ht="41.4">
      <c r="A2" s="271" t="s">
        <v>11</v>
      </c>
      <c r="B2" s="273" t="s">
        <v>393</v>
      </c>
      <c r="C2" s="271" t="s">
        <v>12</v>
      </c>
      <c r="D2" s="274"/>
      <c r="E2" s="275">
        <f>'TSSS '!D35</f>
        <v>32400000000</v>
      </c>
      <c r="F2" s="275">
        <f>'TSSS '!E35</f>
        <v>17437254545.454544</v>
      </c>
      <c r="G2" s="275">
        <f>'TSSS '!F35</f>
        <v>27000000000</v>
      </c>
      <c r="I2" s="264"/>
      <c r="J2" s="264"/>
      <c r="K2" s="264"/>
    </row>
    <row r="3" spans="1:11">
      <c r="A3" s="271" t="s">
        <v>13</v>
      </c>
      <c r="B3" s="273" t="s">
        <v>392</v>
      </c>
      <c r="C3" s="276" t="s">
        <v>394</v>
      </c>
      <c r="D3" s="277"/>
      <c r="E3" s="275">
        <f>'TSSS '!D36</f>
        <v>1080000</v>
      </c>
      <c r="F3" s="275">
        <f>'TSSS '!E36</f>
        <v>1535266.9130865613</v>
      </c>
      <c r="G3" s="275">
        <f>'TSSS '!F36</f>
        <v>1350000</v>
      </c>
      <c r="I3" s="264"/>
      <c r="J3" s="264"/>
      <c r="K3" s="264"/>
    </row>
    <row r="4" spans="1:11" ht="27.6">
      <c r="A4" s="271" t="s">
        <v>14</v>
      </c>
      <c r="B4" s="273" t="s">
        <v>15</v>
      </c>
      <c r="C4" s="271"/>
      <c r="D4" s="271"/>
      <c r="E4" s="278"/>
      <c r="F4" s="278"/>
      <c r="G4" s="278"/>
      <c r="I4" s="264"/>
      <c r="J4" s="264"/>
      <c r="K4" s="264"/>
    </row>
    <row r="5" spans="1:11" ht="41.4">
      <c r="A5" s="384" t="s">
        <v>16</v>
      </c>
      <c r="B5" s="273" t="str">
        <f>'[2]TSSS '!B25</f>
        <v>Tính chất giao dịch</v>
      </c>
      <c r="C5" s="271"/>
      <c r="D5" s="271" t="str">
        <f>'[2]TSSS '!C25</f>
        <v>Giao dịch bình thường trên thị trường</v>
      </c>
      <c r="E5" s="271" t="str">
        <f>'[2]TSSS '!D25</f>
        <v>Giao dịch bình thường trên thị trường</v>
      </c>
      <c r="F5" s="271" t="str">
        <f>'[2]TSSS '!E25</f>
        <v>Giao dịch bình thường trên thị trường</v>
      </c>
      <c r="G5" s="271" t="str">
        <f>'[2]TSSS '!F25</f>
        <v>Giao dịch bình thường trên thị trường</v>
      </c>
      <c r="I5" s="264"/>
      <c r="J5" s="264"/>
      <c r="K5" s="264"/>
    </row>
    <row r="6" spans="1:11">
      <c r="A6" s="385"/>
      <c r="B6" s="279" t="s">
        <v>17</v>
      </c>
      <c r="C6" s="277" t="s">
        <v>18</v>
      </c>
      <c r="D6" s="280"/>
      <c r="E6" s="280">
        <v>0</v>
      </c>
      <c r="F6" s="280">
        <v>0</v>
      </c>
      <c r="G6" s="280">
        <v>0</v>
      </c>
      <c r="I6" s="265">
        <f>IF(E6=0,0,1)</f>
        <v>0</v>
      </c>
      <c r="J6" s="265">
        <f>IF(F6=0,0,1)</f>
        <v>0</v>
      </c>
      <c r="K6" s="265">
        <f>IF(G6=0,0,1)</f>
        <v>0</v>
      </c>
    </row>
    <row r="7" spans="1:11">
      <c r="A7" s="385"/>
      <c r="B7" s="279" t="s">
        <v>19</v>
      </c>
      <c r="C7" s="281" t="s">
        <v>394</v>
      </c>
      <c r="D7" s="277"/>
      <c r="E7" s="282">
        <f>E6*E3</f>
        <v>0</v>
      </c>
      <c r="F7" s="282">
        <f>F6*F3</f>
        <v>0</v>
      </c>
      <c r="G7" s="282">
        <f t="shared" ref="G7" si="0">G6*G3</f>
        <v>0</v>
      </c>
      <c r="I7" s="266">
        <f>ABS(E6)</f>
        <v>0</v>
      </c>
      <c r="J7" s="266">
        <f>ABS(F6)</f>
        <v>0</v>
      </c>
      <c r="K7" s="266">
        <f>ABS(G6)</f>
        <v>0</v>
      </c>
    </row>
    <row r="8" spans="1:11">
      <c r="A8" s="386"/>
      <c r="B8" s="279" t="s">
        <v>329</v>
      </c>
      <c r="C8" s="281" t="s">
        <v>394</v>
      </c>
      <c r="D8" s="277"/>
      <c r="E8" s="282">
        <f>E7+E3</f>
        <v>1080000</v>
      </c>
      <c r="F8" s="282">
        <f t="shared" ref="F8:G8" si="1">F7+F3</f>
        <v>1535266.9130865613</v>
      </c>
      <c r="G8" s="282">
        <f t="shared" si="1"/>
        <v>1350000</v>
      </c>
      <c r="I8" s="266">
        <f>IF(E6=0,100%,ABS(E6))</f>
        <v>1</v>
      </c>
      <c r="J8" s="266">
        <f>IF(F6=0,100%,ABS(F6))</f>
        <v>1</v>
      </c>
      <c r="K8" s="266">
        <f>IF(G6=0,100%,ABS(G6))</f>
        <v>1</v>
      </c>
    </row>
    <row r="9" spans="1:11" ht="27.6">
      <c r="A9" s="384" t="s">
        <v>16</v>
      </c>
      <c r="B9" s="273" t="s">
        <v>6</v>
      </c>
      <c r="C9" s="271"/>
      <c r="D9" s="271" t="str">
        <f>'[2]TSSS '!C26</f>
        <v>Có Giấy chứng nhận Quyền sử dụng đất</v>
      </c>
      <c r="E9" s="271" t="str">
        <f>'[2]TSSS '!D26</f>
        <v>Có Giấy chứng nhận Quyền sử dụng đất</v>
      </c>
      <c r="F9" s="271" t="str">
        <f>'[2]TSSS '!E26</f>
        <v>Có Giấy chứng nhận Quyền sử dụng đất</v>
      </c>
      <c r="G9" s="271" t="str">
        <f>'[2]TSSS '!F26</f>
        <v>Có Giấy chứng nhận Quyền sử dụng đất</v>
      </c>
      <c r="I9" s="264"/>
      <c r="J9" s="264"/>
      <c r="K9" s="264"/>
    </row>
    <row r="10" spans="1:11">
      <c r="A10" s="385"/>
      <c r="B10" s="279" t="s">
        <v>17</v>
      </c>
      <c r="C10" s="277" t="s">
        <v>18</v>
      </c>
      <c r="D10" s="277"/>
      <c r="E10" s="283">
        <v>0</v>
      </c>
      <c r="F10" s="283">
        <v>0</v>
      </c>
      <c r="G10" s="283">
        <v>0</v>
      </c>
      <c r="H10" s="284"/>
      <c r="I10" s="265">
        <f>IF(E10=0,0,1)</f>
        <v>0</v>
      </c>
      <c r="J10" s="265">
        <f>IF(F10=0,0,1)</f>
        <v>0</v>
      </c>
      <c r="K10" s="265">
        <f>IF(G10=0,0,1)</f>
        <v>0</v>
      </c>
    </row>
    <row r="11" spans="1:11">
      <c r="A11" s="385"/>
      <c r="B11" s="279" t="s">
        <v>19</v>
      </c>
      <c r="C11" s="281" t="s">
        <v>394</v>
      </c>
      <c r="D11" s="277"/>
      <c r="E11" s="282">
        <f>E3*E10</f>
        <v>0</v>
      </c>
      <c r="F11" s="282">
        <f>F3*F10</f>
        <v>0</v>
      </c>
      <c r="G11" s="282">
        <f>G3*G10</f>
        <v>0</v>
      </c>
      <c r="I11" s="266">
        <f>ABS(E10)</f>
        <v>0</v>
      </c>
      <c r="J11" s="266">
        <f>ABS(F10)</f>
        <v>0</v>
      </c>
      <c r="K11" s="266">
        <f>ABS(G10)</f>
        <v>0</v>
      </c>
    </row>
    <row r="12" spans="1:11">
      <c r="A12" s="386"/>
      <c r="B12" s="279" t="s">
        <v>329</v>
      </c>
      <c r="C12" s="281" t="s">
        <v>394</v>
      </c>
      <c r="D12" s="277"/>
      <c r="E12" s="282">
        <f>E11+E3</f>
        <v>1080000</v>
      </c>
      <c r="F12" s="282">
        <f>F11+F3</f>
        <v>1535266.9130865613</v>
      </c>
      <c r="G12" s="282">
        <f>G11+G3</f>
        <v>1350000</v>
      </c>
      <c r="I12" s="266">
        <f>IF(E10=0,100%,ABS(E10))</f>
        <v>1</v>
      </c>
      <c r="J12" s="266">
        <f>IF(F10=0,100%,ABS(F10))</f>
        <v>1</v>
      </c>
      <c r="K12" s="266">
        <f>IF(G10=0,100%,ABS(G10))</f>
        <v>1</v>
      </c>
    </row>
    <row r="13" spans="1:11">
      <c r="A13" s="384" t="s">
        <v>21</v>
      </c>
      <c r="B13" s="273" t="str">
        <f>'[2]TSSS '!B27</f>
        <v>Mục đích sử dụng</v>
      </c>
      <c r="C13" s="277"/>
      <c r="D13" s="271" t="str">
        <f>'TSSS '!C14</f>
        <v>Đất cụm công nghiệp</v>
      </c>
      <c r="E13" s="271" t="str">
        <f>'TSSS '!D14</f>
        <v>Đất cụm công nghiệp</v>
      </c>
      <c r="F13" s="271" t="str">
        <f>'TSSS '!E14</f>
        <v>Đất cụm công nghiệp</v>
      </c>
      <c r="G13" s="271" t="str">
        <f>'TSSS '!F14</f>
        <v>Đất cụm công nghiệp</v>
      </c>
      <c r="I13" s="266"/>
      <c r="J13" s="266"/>
      <c r="K13" s="266"/>
    </row>
    <row r="14" spans="1:11">
      <c r="A14" s="385"/>
      <c r="B14" s="279" t="s">
        <v>17</v>
      </c>
      <c r="C14" s="277" t="s">
        <v>18</v>
      </c>
      <c r="D14" s="277"/>
      <c r="E14" s="283">
        <v>0</v>
      </c>
      <c r="F14" s="283">
        <v>0</v>
      </c>
      <c r="G14" s="283">
        <v>0</v>
      </c>
      <c r="H14" s="284"/>
      <c r="I14" s="265">
        <f>IF(E14=0,0,1)</f>
        <v>0</v>
      </c>
      <c r="J14" s="265">
        <f>IF(F14=0,0,1)</f>
        <v>0</v>
      </c>
      <c r="K14" s="265">
        <f>IF(G14=0,0,1)</f>
        <v>0</v>
      </c>
    </row>
    <row r="15" spans="1:11">
      <c r="A15" s="385"/>
      <c r="B15" s="279" t="s">
        <v>19</v>
      </c>
      <c r="C15" s="281" t="s">
        <v>394</v>
      </c>
      <c r="D15" s="277"/>
      <c r="E15" s="282">
        <f>E3*E14</f>
        <v>0</v>
      </c>
      <c r="F15" s="282">
        <f t="shared" ref="F15:G15" si="2">F3*F14</f>
        <v>0</v>
      </c>
      <c r="G15" s="282">
        <f t="shared" si="2"/>
        <v>0</v>
      </c>
      <c r="I15" s="266">
        <f>ABS(E14)</f>
        <v>0</v>
      </c>
      <c r="J15" s="266">
        <f>ABS(F14)</f>
        <v>0</v>
      </c>
      <c r="K15" s="266">
        <f>ABS(G14)</f>
        <v>0</v>
      </c>
    </row>
    <row r="16" spans="1:11">
      <c r="A16" s="386"/>
      <c r="B16" s="279" t="s">
        <v>329</v>
      </c>
      <c r="C16" s="281" t="s">
        <v>394</v>
      </c>
      <c r="D16" s="277"/>
      <c r="E16" s="282">
        <f>E15+E12</f>
        <v>1080000</v>
      </c>
      <c r="F16" s="282">
        <f>F15+F12</f>
        <v>1535266.9130865613</v>
      </c>
      <c r="G16" s="282">
        <f>G15+G12</f>
        <v>1350000</v>
      </c>
      <c r="I16" s="266">
        <f>IF(E14=0,100%,ABS(E14))</f>
        <v>1</v>
      </c>
      <c r="J16" s="266">
        <f>IF(F14=0,100%,ABS(F14))</f>
        <v>1</v>
      </c>
      <c r="K16" s="266">
        <f>IF(G14=0,100%,ABS(G14))</f>
        <v>1</v>
      </c>
    </row>
    <row r="17" spans="1:14">
      <c r="A17" s="384" t="s">
        <v>22</v>
      </c>
      <c r="B17" s="273" t="str">
        <f>'[2]TSSS '!B28</f>
        <v>Thời hạn sử dụng đất</v>
      </c>
      <c r="C17" s="271"/>
      <c r="D17" s="430" t="str">
        <f>'TSSS '!C15</f>
        <v>02/2070</v>
      </c>
      <c r="E17" s="430" t="str">
        <f>'TSSS '!D15</f>
        <v>02/2070</v>
      </c>
      <c r="F17" s="430" t="str">
        <f>'TSSS '!E15</f>
        <v>07/2069</v>
      </c>
      <c r="G17" s="430" t="str">
        <f>'TSSS '!F15</f>
        <v>02/2070</v>
      </c>
      <c r="I17" s="266"/>
      <c r="J17" s="266"/>
      <c r="K17" s="266"/>
    </row>
    <row r="18" spans="1:14">
      <c r="A18" s="385"/>
      <c r="B18" s="279" t="s">
        <v>17</v>
      </c>
      <c r="C18" s="277" t="s">
        <v>18</v>
      </c>
      <c r="D18" s="277"/>
      <c r="E18" s="283">
        <v>0</v>
      </c>
      <c r="F18" s="283">
        <v>0</v>
      </c>
      <c r="G18" s="283">
        <v>0</v>
      </c>
      <c r="H18" s="284"/>
      <c r="I18" s="265">
        <f>IF(E18=0,0,1)</f>
        <v>0</v>
      </c>
      <c r="J18" s="265">
        <f>IF(F18=0,0,1)</f>
        <v>0</v>
      </c>
      <c r="K18" s="265">
        <f>IF(G18=0,0,1)</f>
        <v>0</v>
      </c>
    </row>
    <row r="19" spans="1:14">
      <c r="A19" s="385"/>
      <c r="B19" s="279" t="s">
        <v>19</v>
      </c>
      <c r="C19" s="281" t="s">
        <v>394</v>
      </c>
      <c r="D19" s="277"/>
      <c r="E19" s="282">
        <f>E3*E18</f>
        <v>0</v>
      </c>
      <c r="F19" s="282">
        <f>F3*F18</f>
        <v>0</v>
      </c>
      <c r="G19" s="282">
        <f>G3*G18</f>
        <v>0</v>
      </c>
      <c r="I19" s="266">
        <f>ABS(E18)</f>
        <v>0</v>
      </c>
      <c r="J19" s="266">
        <f>ABS(F18)</f>
        <v>0</v>
      </c>
      <c r="K19" s="266">
        <f>ABS(G18)</f>
        <v>0</v>
      </c>
    </row>
    <row r="20" spans="1:14">
      <c r="A20" s="386"/>
      <c r="B20" s="279" t="s">
        <v>329</v>
      </c>
      <c r="C20" s="281" t="s">
        <v>394</v>
      </c>
      <c r="D20" s="277"/>
      <c r="E20" s="282">
        <f>E19+E16</f>
        <v>1080000</v>
      </c>
      <c r="F20" s="282">
        <f>F19+F16</f>
        <v>1535266.9130865613</v>
      </c>
      <c r="G20" s="282">
        <f>G19+G16</f>
        <v>1350000</v>
      </c>
      <c r="I20" s="266">
        <f>IF(E18=0,100%,ABS(E18))</f>
        <v>1</v>
      </c>
      <c r="J20" s="266">
        <f>IF(F18=0,100%,ABS(F18))</f>
        <v>1</v>
      </c>
      <c r="K20" s="266">
        <f>IF(G18=0,100%,ABS(G18))</f>
        <v>1</v>
      </c>
    </row>
    <row r="21" spans="1:14" ht="55.2" customHeight="1">
      <c r="A21" s="384" t="s">
        <v>20</v>
      </c>
      <c r="B21" s="273" t="str">
        <f>'[2]TSSS '!B30</f>
        <v>Vị trí</v>
      </c>
      <c r="C21" s="271"/>
      <c r="D21" s="271" t="str">
        <f>'TSSS '!C16</f>
        <v>Tiếp giáp trục chính đường nội bộ Cụm Công nghiệp</v>
      </c>
      <c r="E21" s="271" t="str">
        <f>'TSSS '!D16</f>
        <v>Tiếp giáp đường nội khu trong Cụm Công nghiệp</v>
      </c>
      <c r="F21" s="271" t="str">
        <f>'TSSS '!E16</f>
        <v>Tiếp giáp trục chính đường nội bộ Cụm Công nghiệp</v>
      </c>
      <c r="G21" s="271" t="str">
        <f>'TSSS '!F16</f>
        <v>Tiếp giáp đường nội khu trong Cụm Công nghiệp</v>
      </c>
      <c r="I21" s="264"/>
      <c r="J21" s="264"/>
      <c r="K21" s="264"/>
    </row>
    <row r="22" spans="1:14">
      <c r="A22" s="385"/>
      <c r="B22" s="279" t="s">
        <v>17</v>
      </c>
      <c r="C22" s="277" t="s">
        <v>18</v>
      </c>
      <c r="D22" s="277"/>
      <c r="E22" s="283">
        <v>7.0000000000000007E-2</v>
      </c>
      <c r="F22" s="283">
        <v>0</v>
      </c>
      <c r="G22" s="283">
        <v>7.0000000000000007E-2</v>
      </c>
      <c r="H22" s="284"/>
      <c r="I22" s="265">
        <f>IF(E22=0,0,1)</f>
        <v>1</v>
      </c>
      <c r="J22" s="265">
        <f>IF(F22=0,0,1)</f>
        <v>0</v>
      </c>
      <c r="K22" s="265">
        <f>IF(G22=0,0,1)</f>
        <v>1</v>
      </c>
    </row>
    <row r="23" spans="1:14">
      <c r="A23" s="385"/>
      <c r="B23" s="279" t="s">
        <v>19</v>
      </c>
      <c r="C23" s="281" t="s">
        <v>394</v>
      </c>
      <c r="D23" s="277"/>
      <c r="E23" s="282">
        <f>E20*E22</f>
        <v>75600</v>
      </c>
      <c r="F23" s="282">
        <f t="shared" ref="F23:G23" si="3">F20*F22</f>
        <v>0</v>
      </c>
      <c r="G23" s="282">
        <f t="shared" si="3"/>
        <v>94500.000000000015</v>
      </c>
      <c r="I23" s="266">
        <f>ABS(E22)</f>
        <v>7.0000000000000007E-2</v>
      </c>
      <c r="J23" s="266">
        <f>ABS(F22)</f>
        <v>0</v>
      </c>
      <c r="K23" s="266">
        <f>ABS(G22)</f>
        <v>7.0000000000000007E-2</v>
      </c>
    </row>
    <row r="24" spans="1:14">
      <c r="A24" s="386"/>
      <c r="B24" s="279" t="s">
        <v>329</v>
      </c>
      <c r="C24" s="281" t="s">
        <v>394</v>
      </c>
      <c r="D24" s="277"/>
      <c r="E24" s="282">
        <f>E23+E20</f>
        <v>1155600</v>
      </c>
      <c r="F24" s="282">
        <f>F23+F20</f>
        <v>1535266.9130865613</v>
      </c>
      <c r="G24" s="282">
        <f>G23+G20</f>
        <v>1444500</v>
      </c>
      <c r="I24" s="266">
        <f>IF(E22=0,100%,ABS(E22))</f>
        <v>7.0000000000000007E-2</v>
      </c>
      <c r="J24" s="266">
        <f>IF(F22=0,100%,ABS(F22))</f>
        <v>1</v>
      </c>
      <c r="K24" s="266">
        <f>IF(G22=0,100%,ABS(G22))</f>
        <v>7.0000000000000007E-2</v>
      </c>
    </row>
    <row r="25" spans="1:14">
      <c r="A25" s="384" t="s">
        <v>21</v>
      </c>
      <c r="B25" s="273" t="str">
        <f>'[2]TSSS '!B31</f>
        <v>Giao thông</v>
      </c>
      <c r="C25" s="271"/>
      <c r="D25" s="271" t="str">
        <f>'TSSS '!C17</f>
        <v>15m + vỉa hè</v>
      </c>
      <c r="E25" s="271" t="str">
        <f>'TSSS '!D17</f>
        <v>8m + vỉa hè</v>
      </c>
      <c r="F25" s="271" t="str">
        <f>'TSSS '!E17</f>
        <v>15m + vỉa hè</v>
      </c>
      <c r="G25" s="271" t="str">
        <f>'TSSS '!F17</f>
        <v>8m + vỉa hè</v>
      </c>
      <c r="I25" s="264"/>
      <c r="J25" s="264"/>
      <c r="K25" s="264"/>
    </row>
    <row r="26" spans="1:14">
      <c r="A26" s="385"/>
      <c r="B26" s="279" t="s">
        <v>17</v>
      </c>
      <c r="C26" s="277" t="s">
        <v>18</v>
      </c>
      <c r="D26" s="277"/>
      <c r="E26" s="283">
        <v>0.05</v>
      </c>
      <c r="F26" s="283">
        <v>0</v>
      </c>
      <c r="G26" s="283">
        <v>0.05</v>
      </c>
      <c r="H26" s="284"/>
      <c r="I26" s="265">
        <f>IF(E26=0,0,1)</f>
        <v>1</v>
      </c>
      <c r="J26" s="265">
        <f>IF(F26=0,0,1)</f>
        <v>0</v>
      </c>
      <c r="K26" s="265">
        <f>IF(G26=0,0,1)</f>
        <v>1</v>
      </c>
    </row>
    <row r="27" spans="1:14">
      <c r="A27" s="385"/>
      <c r="B27" s="279" t="s">
        <v>19</v>
      </c>
      <c r="C27" s="281" t="s">
        <v>394</v>
      </c>
      <c r="D27" s="277"/>
      <c r="E27" s="282">
        <f>E20*E26</f>
        <v>54000</v>
      </c>
      <c r="F27" s="282">
        <f t="shared" ref="F27:G27" si="4">F20*F26</f>
        <v>0</v>
      </c>
      <c r="G27" s="282">
        <f t="shared" si="4"/>
        <v>67500</v>
      </c>
      <c r="I27" s="266">
        <f>ABS(E26)</f>
        <v>0.05</v>
      </c>
      <c r="J27" s="266">
        <f>ABS(F26)</f>
        <v>0</v>
      </c>
      <c r="K27" s="266">
        <f>ABS(G26)</f>
        <v>0.05</v>
      </c>
    </row>
    <row r="28" spans="1:14">
      <c r="A28" s="386"/>
      <c r="B28" s="279" t="s">
        <v>329</v>
      </c>
      <c r="C28" s="281" t="s">
        <v>394</v>
      </c>
      <c r="D28" s="277"/>
      <c r="E28" s="282">
        <f>E27+E24</f>
        <v>1209600</v>
      </c>
      <c r="F28" s="282">
        <f>F27+F24</f>
        <v>1535266.9130865613</v>
      </c>
      <c r="G28" s="282">
        <f>G27+G24</f>
        <v>1512000</v>
      </c>
      <c r="I28" s="266">
        <f>IF(E26=0,100%,ABS(E26))</f>
        <v>0.05</v>
      </c>
      <c r="J28" s="266">
        <f>IF(F26=0,100%,ABS(F26))</f>
        <v>1</v>
      </c>
      <c r="K28" s="266">
        <f>IF(G26=0,100%,ABS(G26))</f>
        <v>0.05</v>
      </c>
      <c r="L28" s="272">
        <f>L29/3000</f>
        <v>-3.4234333333333331</v>
      </c>
      <c r="M28" s="272">
        <f t="shared" ref="M28:N28" si="5">M29/3000</f>
        <v>2.790633333333334</v>
      </c>
      <c r="N28" s="272">
        <f t="shared" si="5"/>
        <v>-9.0099999999999764E-2</v>
      </c>
    </row>
    <row r="29" spans="1:14">
      <c r="A29" s="384" t="s">
        <v>22</v>
      </c>
      <c r="B29" s="273" t="str">
        <f>'[2]TSSS '!B32</f>
        <v>Tổng diện tích đất (m²)</v>
      </c>
      <c r="C29" s="271" t="s">
        <v>395</v>
      </c>
      <c r="D29" s="328">
        <f>'TSSS '!C18</f>
        <v>19729.7</v>
      </c>
      <c r="E29" s="285">
        <f>'TSSS '!D18</f>
        <v>30000</v>
      </c>
      <c r="F29" s="285">
        <f>'TSSS '!E18</f>
        <v>11357.8</v>
      </c>
      <c r="G29" s="285">
        <f>'TSSS '!F18</f>
        <v>20000</v>
      </c>
      <c r="I29" s="264"/>
      <c r="J29" s="264"/>
      <c r="K29" s="264"/>
      <c r="L29" s="272">
        <f>$D$29-E29</f>
        <v>-10270.299999999999</v>
      </c>
      <c r="M29" s="272">
        <f t="shared" ref="M29:N29" si="6">$D$29-F29</f>
        <v>8371.9000000000015</v>
      </c>
      <c r="N29" s="272">
        <f t="shared" si="6"/>
        <v>-270.29999999999927</v>
      </c>
    </row>
    <row r="30" spans="1:14">
      <c r="A30" s="385"/>
      <c r="B30" s="279" t="s">
        <v>17</v>
      </c>
      <c r="C30" s="277" t="s">
        <v>18</v>
      </c>
      <c r="D30" s="277"/>
      <c r="E30" s="283">
        <v>0.08</v>
      </c>
      <c r="F30" s="283">
        <v>-0.05</v>
      </c>
      <c r="G30" s="283">
        <v>0</v>
      </c>
      <c r="I30" s="265">
        <f>IF(E30=0,0,1)</f>
        <v>1</v>
      </c>
      <c r="J30" s="265">
        <f>IF(F30=0,0,1)</f>
        <v>1</v>
      </c>
      <c r="K30" s="265">
        <f>IF(G30=0,0,1)</f>
        <v>0</v>
      </c>
    </row>
    <row r="31" spans="1:14">
      <c r="A31" s="385"/>
      <c r="B31" s="279" t="s">
        <v>19</v>
      </c>
      <c r="C31" s="281" t="s">
        <v>394</v>
      </c>
      <c r="D31" s="277"/>
      <c r="E31" s="282">
        <f>E20*E30</f>
        <v>86400</v>
      </c>
      <c r="F31" s="282">
        <f>F20*F30</f>
        <v>-76763.345654328063</v>
      </c>
      <c r="G31" s="282">
        <f t="shared" ref="G31" si="7">G20*G30</f>
        <v>0</v>
      </c>
      <c r="I31" s="266">
        <f>ABS(E30)</f>
        <v>0.08</v>
      </c>
      <c r="J31" s="266">
        <f>ABS(F30)</f>
        <v>0.05</v>
      </c>
      <c r="K31" s="266">
        <f>ABS(G30)</f>
        <v>0</v>
      </c>
    </row>
    <row r="32" spans="1:14">
      <c r="A32" s="386"/>
      <c r="B32" s="279" t="s">
        <v>329</v>
      </c>
      <c r="C32" s="281" t="s">
        <v>394</v>
      </c>
      <c r="D32" s="277"/>
      <c r="E32" s="282">
        <f>E31+E28</f>
        <v>1296000</v>
      </c>
      <c r="F32" s="282">
        <f t="shared" ref="F32" si="8">F31+F28</f>
        <v>1458503.5674322331</v>
      </c>
      <c r="G32" s="282">
        <f>G31+G28</f>
        <v>1512000</v>
      </c>
      <c r="I32" s="266">
        <f>IF(E30=0,100%,ABS(E30))</f>
        <v>0.08</v>
      </c>
      <c r="J32" s="266">
        <f>IF(F30=0,100%,ABS(F30))</f>
        <v>0.05</v>
      </c>
      <c r="K32" s="266">
        <f>IF(G30=0,100%,ABS(G30))</f>
        <v>1</v>
      </c>
      <c r="L32" s="272">
        <f>$D$33-E33</f>
        <v>-76.62</v>
      </c>
      <c r="M32" s="272">
        <f t="shared" ref="M32:N32" si="9">$D$33-F33</f>
        <v>57.379999999999995</v>
      </c>
      <c r="N32" s="272">
        <f t="shared" si="9"/>
        <v>53.379999999999995</v>
      </c>
    </row>
    <row r="33" spans="1:14">
      <c r="A33" s="384" t="s">
        <v>23</v>
      </c>
      <c r="B33" s="286" t="str">
        <f>'[2]TSSS '!B35</f>
        <v>Mặt tiền (m)</v>
      </c>
      <c r="C33" s="276" t="s">
        <v>396</v>
      </c>
      <c r="D33" s="324">
        <f>'TSSS '!C19</f>
        <v>163.38</v>
      </c>
      <c r="E33" s="324">
        <f>'TSSS '!D19</f>
        <v>240</v>
      </c>
      <c r="F33" s="324">
        <f>'TSSS '!E19</f>
        <v>106</v>
      </c>
      <c r="G33" s="324">
        <f>'TSSS '!F19</f>
        <v>110</v>
      </c>
      <c r="I33" s="264"/>
      <c r="J33" s="264"/>
      <c r="K33" s="264"/>
      <c r="L33" s="272">
        <f>L32/5</f>
        <v>-15.324000000000002</v>
      </c>
      <c r="M33" s="272">
        <f t="shared" ref="M33:N33" si="10">M32/5</f>
        <v>11.475999999999999</v>
      </c>
      <c r="N33" s="272">
        <f t="shared" si="10"/>
        <v>10.675999999999998</v>
      </c>
    </row>
    <row r="34" spans="1:14">
      <c r="A34" s="385"/>
      <c r="B34" s="279" t="s">
        <v>17</v>
      </c>
      <c r="C34" s="277" t="s">
        <v>18</v>
      </c>
      <c r="D34" s="277"/>
      <c r="E34" s="283">
        <v>-0.08</v>
      </c>
      <c r="F34" s="283">
        <v>0.05</v>
      </c>
      <c r="G34" s="283">
        <v>0.05</v>
      </c>
      <c r="H34" s="284"/>
      <c r="I34" s="265">
        <f>IF(E34=0,0,1)</f>
        <v>1</v>
      </c>
      <c r="J34" s="265">
        <f>IF(F34=0,0,1)</f>
        <v>1</v>
      </c>
      <c r="K34" s="265">
        <f>IF(G34=0,0,1)</f>
        <v>1</v>
      </c>
    </row>
    <row r="35" spans="1:14">
      <c r="A35" s="385"/>
      <c r="B35" s="279" t="s">
        <v>19</v>
      </c>
      <c r="C35" s="281" t="s">
        <v>394</v>
      </c>
      <c r="D35" s="277"/>
      <c r="E35" s="282">
        <f>E20*E34</f>
        <v>-86400</v>
      </c>
      <c r="F35" s="282">
        <f t="shared" ref="F35:G35" si="11">F20*F34</f>
        <v>76763.345654328063</v>
      </c>
      <c r="G35" s="282">
        <f t="shared" si="11"/>
        <v>67500</v>
      </c>
      <c r="I35" s="266">
        <f>ABS(E34)</f>
        <v>0.08</v>
      </c>
      <c r="J35" s="266">
        <f>ABS(F34)</f>
        <v>0.05</v>
      </c>
      <c r="K35" s="266">
        <f>ABS(G34)</f>
        <v>0.05</v>
      </c>
    </row>
    <row r="36" spans="1:14">
      <c r="A36" s="386"/>
      <c r="B36" s="279" t="s">
        <v>329</v>
      </c>
      <c r="C36" s="281" t="s">
        <v>394</v>
      </c>
      <c r="D36" s="277"/>
      <c r="E36" s="282">
        <f>E35+E32</f>
        <v>1209600</v>
      </c>
      <c r="F36" s="282">
        <f t="shared" ref="F36:G36" si="12">F35+F32</f>
        <v>1535266.9130865613</v>
      </c>
      <c r="G36" s="282">
        <f t="shared" si="12"/>
        <v>1579500</v>
      </c>
      <c r="I36" s="266">
        <f>IF(E34=0,100%,ABS(E34))</f>
        <v>0.08</v>
      </c>
      <c r="J36" s="266">
        <f>IF(F34=0,100%,ABS(F34))</f>
        <v>0.05</v>
      </c>
      <c r="K36" s="266">
        <f>IF(G34=0,100%,ABS(G34))</f>
        <v>0.05</v>
      </c>
    </row>
    <row r="37" spans="1:14">
      <c r="A37" s="384" t="s">
        <v>55</v>
      </c>
      <c r="B37" s="286" t="str">
        <f>'[2]TSSS '!B36</f>
        <v>Chiều sâu (m)</v>
      </c>
      <c r="C37" s="287"/>
      <c r="D37" s="271">
        <f>'[2]TSSS '!C36</f>
        <v>10.25</v>
      </c>
      <c r="E37" s="271" t="e">
        <f>'[2]TSSS '!D36</f>
        <v>#REF!</v>
      </c>
      <c r="F37" s="271" t="e">
        <f>'[2]TSSS '!E36</f>
        <v>#REF!</v>
      </c>
      <c r="G37" s="271" t="e">
        <f>'[2]TSSS '!F36</f>
        <v>#REF!</v>
      </c>
      <c r="I37" s="264"/>
      <c r="J37" s="264"/>
      <c r="K37" s="264"/>
    </row>
    <row r="38" spans="1:14">
      <c r="A38" s="385"/>
      <c r="B38" s="279" t="s">
        <v>17</v>
      </c>
      <c r="C38" s="277" t="s">
        <v>18</v>
      </c>
      <c r="D38" s="277"/>
      <c r="E38" s="283">
        <v>0</v>
      </c>
      <c r="F38" s="283">
        <v>0</v>
      </c>
      <c r="G38" s="283">
        <v>0</v>
      </c>
      <c r="H38" s="284"/>
      <c r="I38" s="265">
        <f>IF(E38=0,0,1)</f>
        <v>0</v>
      </c>
      <c r="J38" s="265">
        <f>IF(F38=0,0,1)</f>
        <v>0</v>
      </c>
      <c r="K38" s="265">
        <f>IF(G38=0,0,1)</f>
        <v>0</v>
      </c>
    </row>
    <row r="39" spans="1:14">
      <c r="A39" s="385"/>
      <c r="B39" s="279" t="s">
        <v>19</v>
      </c>
      <c r="C39" s="281" t="s">
        <v>394</v>
      </c>
      <c r="D39" s="277"/>
      <c r="E39" s="282">
        <f>E20*E38</f>
        <v>0</v>
      </c>
      <c r="F39" s="282">
        <f t="shared" ref="F39:G39" si="13">F20*F38</f>
        <v>0</v>
      </c>
      <c r="G39" s="282">
        <f t="shared" si="13"/>
        <v>0</v>
      </c>
      <c r="I39" s="266">
        <f>ABS(E38)</f>
        <v>0</v>
      </c>
      <c r="J39" s="266">
        <f>ABS(F38)</f>
        <v>0</v>
      </c>
      <c r="K39" s="266">
        <f>ABS(G38)</f>
        <v>0</v>
      </c>
    </row>
    <row r="40" spans="1:14">
      <c r="A40" s="386"/>
      <c r="B40" s="279" t="s">
        <v>329</v>
      </c>
      <c r="C40" s="281" t="s">
        <v>394</v>
      </c>
      <c r="D40" s="277"/>
      <c r="E40" s="282">
        <f>E39+E36</f>
        <v>1209600</v>
      </c>
      <c r="F40" s="282">
        <f>F39+F36</f>
        <v>1535266.9130865613</v>
      </c>
      <c r="G40" s="282">
        <f>G39+G36</f>
        <v>1579500</v>
      </c>
      <c r="I40" s="266">
        <f>IF(E38=0,100%,ABS(E38))</f>
        <v>1</v>
      </c>
      <c r="J40" s="266">
        <f>IF(F38=0,100%,ABS(F38))</f>
        <v>1</v>
      </c>
      <c r="K40" s="266">
        <f>IF(G38=0,100%,ABS(G38))</f>
        <v>1</v>
      </c>
    </row>
    <row r="41" spans="1:14">
      <c r="A41" s="384" t="s">
        <v>24</v>
      </c>
      <c r="B41" s="273" t="str">
        <f>'[2]TSSS '!B37</f>
        <v>Số lượng mặt tiếp giáp</v>
      </c>
      <c r="C41" s="277"/>
      <c r="D41" s="271" t="str">
        <f>'TSSS '!C20</f>
        <v>2 mặt tiền</v>
      </c>
      <c r="E41" s="271" t="str">
        <f>'TSSS '!D20</f>
        <v>1 mặt tiền</v>
      </c>
      <c r="F41" s="271" t="str">
        <f>'TSSS '!E20</f>
        <v>1 mặt tiền</v>
      </c>
      <c r="G41" s="271" t="str">
        <f>'TSSS '!F20</f>
        <v>1 mặt tiền</v>
      </c>
      <c r="I41" s="264"/>
      <c r="J41" s="264"/>
      <c r="K41" s="264"/>
    </row>
    <row r="42" spans="1:14">
      <c r="A42" s="385"/>
      <c r="B42" s="279" t="s">
        <v>17</v>
      </c>
      <c r="C42" s="277" t="s">
        <v>18</v>
      </c>
      <c r="D42" s="277"/>
      <c r="E42" s="283">
        <v>0.05</v>
      </c>
      <c r="F42" s="283">
        <v>0.05</v>
      </c>
      <c r="G42" s="283">
        <v>0.05</v>
      </c>
      <c r="H42" s="284"/>
      <c r="I42" s="265">
        <f>IF(E42=0,0,1)</f>
        <v>1</v>
      </c>
      <c r="J42" s="265">
        <f>IF(F42=0,0,1)</f>
        <v>1</v>
      </c>
      <c r="K42" s="265">
        <f>IF(G42=0,0,1)</f>
        <v>1</v>
      </c>
    </row>
    <row r="43" spans="1:14">
      <c r="A43" s="385"/>
      <c r="B43" s="279" t="s">
        <v>19</v>
      </c>
      <c r="C43" s="281" t="s">
        <v>394</v>
      </c>
      <c r="D43" s="277"/>
      <c r="E43" s="282">
        <f>E20*E42</f>
        <v>54000</v>
      </c>
      <c r="F43" s="282">
        <f>F20*F42</f>
        <v>76763.345654328063</v>
      </c>
      <c r="G43" s="282">
        <f t="shared" ref="G43" si="14">G20*G42</f>
        <v>67500</v>
      </c>
      <c r="I43" s="266">
        <f>ABS(E42)</f>
        <v>0.05</v>
      </c>
      <c r="J43" s="266">
        <f>ABS(F42)</f>
        <v>0.05</v>
      </c>
      <c r="K43" s="266">
        <f>ABS(G42)</f>
        <v>0.05</v>
      </c>
    </row>
    <row r="44" spans="1:14">
      <c r="A44" s="386"/>
      <c r="B44" s="279" t="s">
        <v>329</v>
      </c>
      <c r="C44" s="281" t="s">
        <v>394</v>
      </c>
      <c r="D44" s="277"/>
      <c r="E44" s="282">
        <f>E43+E40</f>
        <v>1263600</v>
      </c>
      <c r="F44" s="282">
        <f>F43+F40</f>
        <v>1612030.2587408894</v>
      </c>
      <c r="G44" s="282">
        <f>G43+G40</f>
        <v>1647000</v>
      </c>
      <c r="I44" s="266">
        <f>IF(E42=0,100%,ABS(E42))</f>
        <v>0.05</v>
      </c>
      <c r="J44" s="266">
        <f>IF(F42=0,100%,ABS(F42))</f>
        <v>0.05</v>
      </c>
      <c r="K44" s="266">
        <f>IF(G42=0,100%,ABS(G42))</f>
        <v>0.05</v>
      </c>
    </row>
    <row r="45" spans="1:14">
      <c r="A45" s="384" t="s">
        <v>53</v>
      </c>
      <c r="B45" s="273" t="str">
        <f>'[2]TSSS '!B38</f>
        <v>Hình dáng thửa đất</v>
      </c>
      <c r="C45" s="277"/>
      <c r="D45" s="271" t="str">
        <f>'TSSS '!C21</f>
        <v>Đa giác</v>
      </c>
      <c r="E45" s="271" t="str">
        <f>'TSSS '!D21</f>
        <v>Đa giác</v>
      </c>
      <c r="F45" s="271" t="str">
        <f>'TSSS '!E21</f>
        <v>Đa giác</v>
      </c>
      <c r="G45" s="271" t="str">
        <f>'TSSS '!F21</f>
        <v>Đa giác</v>
      </c>
      <c r="I45" s="264"/>
      <c r="J45" s="264"/>
      <c r="K45" s="264"/>
    </row>
    <row r="46" spans="1:14">
      <c r="A46" s="385"/>
      <c r="B46" s="279" t="s">
        <v>17</v>
      </c>
      <c r="C46" s="277" t="s">
        <v>18</v>
      </c>
      <c r="D46" s="277"/>
      <c r="E46" s="283">
        <v>0</v>
      </c>
      <c r="F46" s="283">
        <v>0</v>
      </c>
      <c r="G46" s="283">
        <v>0</v>
      </c>
      <c r="H46" s="284"/>
      <c r="I46" s="265">
        <f>IF(E46=0,0,1)</f>
        <v>0</v>
      </c>
      <c r="J46" s="265">
        <f>IF(F46=0,0,1)</f>
        <v>0</v>
      </c>
      <c r="K46" s="265">
        <f>IF(G46=0,0,1)</f>
        <v>0</v>
      </c>
    </row>
    <row r="47" spans="1:14">
      <c r="A47" s="385"/>
      <c r="B47" s="279" t="s">
        <v>19</v>
      </c>
      <c r="C47" s="281" t="s">
        <v>394</v>
      </c>
      <c r="D47" s="277"/>
      <c r="E47" s="282">
        <f>E20*E46</f>
        <v>0</v>
      </c>
      <c r="F47" s="282">
        <f>F20*F46</f>
        <v>0</v>
      </c>
      <c r="G47" s="282">
        <f t="shared" ref="G47" si="15">G20*G46</f>
        <v>0</v>
      </c>
      <c r="I47" s="266">
        <f>ABS(E46)</f>
        <v>0</v>
      </c>
      <c r="J47" s="266">
        <f>ABS(F46)</f>
        <v>0</v>
      </c>
      <c r="K47" s="266">
        <f>ABS(G46)</f>
        <v>0</v>
      </c>
    </row>
    <row r="48" spans="1:14">
      <c r="A48" s="386"/>
      <c r="B48" s="279" t="s">
        <v>329</v>
      </c>
      <c r="C48" s="281" t="s">
        <v>394</v>
      </c>
      <c r="D48" s="277"/>
      <c r="E48" s="282">
        <f>E47+E44</f>
        <v>1263600</v>
      </c>
      <c r="F48" s="282">
        <f>F47+F44</f>
        <v>1612030.2587408894</v>
      </c>
      <c r="G48" s="282">
        <f t="shared" ref="G48" si="16">G47+G44</f>
        <v>1647000</v>
      </c>
      <c r="I48" s="266">
        <f>IF(E46=0,100%,ABS(E46))</f>
        <v>1</v>
      </c>
      <c r="J48" s="266">
        <f>IF(F46=0,100%,ABS(F46))</f>
        <v>1</v>
      </c>
      <c r="K48" s="266">
        <f>IF(G46=0,100%,ABS(G46))</f>
        <v>1</v>
      </c>
    </row>
    <row r="49" spans="1:11" ht="27.6" hidden="1">
      <c r="A49" s="384" t="s">
        <v>54</v>
      </c>
      <c r="B49" s="273" t="str">
        <f>'[2]TSSS '!B42</f>
        <v>Điều kiện môi trường an ninh</v>
      </c>
      <c r="C49" s="277"/>
      <c r="D49" s="271" t="str">
        <f>'[2]TSSS '!C42</f>
        <v>Nhìn ra sân Gofl</v>
      </c>
      <c r="E49" s="271" t="str">
        <f>'[2]TSSS '!D42</f>
        <v>Nhìn vào nội khu</v>
      </c>
      <c r="F49" s="271" t="str">
        <f>'[2]TSSS '!E42</f>
        <v>Nhìn ra sân Gofl</v>
      </c>
      <c r="G49" s="271" t="str">
        <f>'[2]TSSS '!F42</f>
        <v>Nhìn ra sân Gofl</v>
      </c>
      <c r="I49" s="264"/>
      <c r="J49" s="264"/>
      <c r="K49" s="264"/>
    </row>
    <row r="50" spans="1:11" hidden="1">
      <c r="A50" s="385"/>
      <c r="B50" s="279" t="s">
        <v>17</v>
      </c>
      <c r="C50" s="277" t="s">
        <v>18</v>
      </c>
      <c r="D50" s="277"/>
      <c r="E50" s="283">
        <v>0</v>
      </c>
      <c r="F50" s="283">
        <v>0</v>
      </c>
      <c r="G50" s="283">
        <v>0</v>
      </c>
      <c r="H50" s="284"/>
      <c r="I50" s="265">
        <f>IF(E50=0,0,1)</f>
        <v>0</v>
      </c>
      <c r="J50" s="265">
        <f>IF(F50=0,0,1)</f>
        <v>0</v>
      </c>
      <c r="K50" s="265">
        <f>IF(G50=0,0,1)</f>
        <v>0</v>
      </c>
    </row>
    <row r="51" spans="1:11" hidden="1">
      <c r="A51" s="385"/>
      <c r="B51" s="279" t="s">
        <v>19</v>
      </c>
      <c r="C51" s="281" t="s">
        <v>394</v>
      </c>
      <c r="D51" s="277"/>
      <c r="E51" s="282">
        <f>E20*E50</f>
        <v>0</v>
      </c>
      <c r="F51" s="282">
        <f t="shared" ref="F51:G51" si="17">F20*F50</f>
        <v>0</v>
      </c>
      <c r="G51" s="282">
        <f t="shared" si="17"/>
        <v>0</v>
      </c>
      <c r="I51" s="266">
        <f>ABS(E50)</f>
        <v>0</v>
      </c>
      <c r="J51" s="266">
        <f>ABS(F50)</f>
        <v>0</v>
      </c>
      <c r="K51" s="266">
        <f>ABS(G50)</f>
        <v>0</v>
      </c>
    </row>
    <row r="52" spans="1:11" hidden="1">
      <c r="A52" s="386"/>
      <c r="B52" s="279" t="s">
        <v>329</v>
      </c>
      <c r="C52" s="281" t="s">
        <v>394</v>
      </c>
      <c r="D52" s="277"/>
      <c r="E52" s="282">
        <f>E51+E48</f>
        <v>1263600</v>
      </c>
      <c r="F52" s="282">
        <f t="shared" ref="F52:G52" si="18">F51+F48</f>
        <v>1612030.2587408894</v>
      </c>
      <c r="G52" s="282">
        <f t="shared" si="18"/>
        <v>1647000</v>
      </c>
      <c r="I52" s="266">
        <f>IF(E50=0,100%,ABS(E50))</f>
        <v>1</v>
      </c>
      <c r="J52" s="266">
        <f>IF(F50=0,100%,ABS(F50))</f>
        <v>1</v>
      </c>
      <c r="K52" s="266">
        <f>IF(G50=0,100%,ABS(G50))</f>
        <v>1</v>
      </c>
    </row>
    <row r="53" spans="1:11">
      <c r="A53" s="384" t="s">
        <v>397</v>
      </c>
      <c r="B53" s="273" t="str">
        <f>'[2]TSSS '!B40</f>
        <v>Yếu tố phong thủy</v>
      </c>
      <c r="C53" s="277"/>
      <c r="D53" s="271" t="str">
        <f>'TSSS '!C23</f>
        <v>Không lỗi phong thủy</v>
      </c>
      <c r="E53" s="271" t="str">
        <f>'TSSS '!D23</f>
        <v>Không lỗi phong thủy</v>
      </c>
      <c r="F53" s="271" t="str">
        <f>'TSSS '!E23</f>
        <v>Thóp hậu</v>
      </c>
      <c r="G53" s="271" t="str">
        <f>'TSSS '!F23</f>
        <v>Không lỗi phong thủy</v>
      </c>
      <c r="I53" s="264"/>
      <c r="J53" s="264"/>
      <c r="K53" s="264"/>
    </row>
    <row r="54" spans="1:11">
      <c r="A54" s="385"/>
      <c r="B54" s="279" t="s">
        <v>17</v>
      </c>
      <c r="C54" s="277" t="s">
        <v>18</v>
      </c>
      <c r="D54" s="277"/>
      <c r="E54" s="283">
        <v>0</v>
      </c>
      <c r="F54" s="283">
        <v>0.05</v>
      </c>
      <c r="G54" s="283">
        <v>0</v>
      </c>
      <c r="H54" s="284"/>
      <c r="I54" s="265">
        <f>IF(E54=0,0,1)</f>
        <v>0</v>
      </c>
      <c r="J54" s="265">
        <f>IF(F54=0,0,1)</f>
        <v>1</v>
      </c>
      <c r="K54" s="265">
        <f>IF(G54=0,0,1)</f>
        <v>0</v>
      </c>
    </row>
    <row r="55" spans="1:11">
      <c r="A55" s="385"/>
      <c r="B55" s="279" t="s">
        <v>19</v>
      </c>
      <c r="C55" s="281" t="s">
        <v>394</v>
      </c>
      <c r="D55" s="277"/>
      <c r="E55" s="282">
        <f>E20*E54</f>
        <v>0</v>
      </c>
      <c r="F55" s="282">
        <f t="shared" ref="F55:G55" si="19">F20*F54</f>
        <v>76763.345654328063</v>
      </c>
      <c r="G55" s="282">
        <f t="shared" si="19"/>
        <v>0</v>
      </c>
      <c r="I55" s="266">
        <f>ABS(E54)</f>
        <v>0</v>
      </c>
      <c r="J55" s="266">
        <f>ABS(F54)</f>
        <v>0.05</v>
      </c>
      <c r="K55" s="266">
        <f>ABS(G54)</f>
        <v>0</v>
      </c>
    </row>
    <row r="56" spans="1:11">
      <c r="A56" s="386"/>
      <c r="B56" s="279" t="s">
        <v>329</v>
      </c>
      <c r="C56" s="281" t="s">
        <v>394</v>
      </c>
      <c r="D56" s="277"/>
      <c r="E56" s="282">
        <f t="shared" ref="E56:G56" si="20">E55+E52</f>
        <v>1263600</v>
      </c>
      <c r="F56" s="282">
        <f t="shared" si="20"/>
        <v>1688793.6043952175</v>
      </c>
      <c r="G56" s="282">
        <f t="shared" si="20"/>
        <v>1647000</v>
      </c>
      <c r="I56" s="266">
        <f>IF(E54=0,100%,ABS(E54))</f>
        <v>1</v>
      </c>
      <c r="J56" s="266">
        <f>IF(F54=0,100%,ABS(F54))</f>
        <v>0.05</v>
      </c>
      <c r="K56" s="266">
        <f>IF(G54=0,100%,ABS(G54))</f>
        <v>1</v>
      </c>
    </row>
    <row r="57" spans="1:11" ht="106.2" customHeight="1">
      <c r="A57" s="384" t="s">
        <v>55</v>
      </c>
      <c r="B57" s="273" t="str">
        <f>'[2]TSSS '!B41</f>
        <v>Điều kiện cơ sở hạ tầng kỹ thuật</v>
      </c>
      <c r="C57" s="277"/>
      <c r="D57" s="271" t="str">
        <f>'TSSS '!C24</f>
        <v>HTKT hoàn thiện trong Cụm công nghiệp</v>
      </c>
      <c r="E57" s="271" t="str">
        <f>'TSSS '!D24</f>
        <v>HTKT chưa hoàn thiện trong Cụm công nghiệp, chưa san lấp mặt bằng, chưa có hạ tầng điện nước và hạ tầng thoát nước. Chưa làm đường</v>
      </c>
      <c r="F57" s="271" t="str">
        <f>'TSSS '!E24</f>
        <v>HTKT hoàn thiện trong Cụm công nghiệp</v>
      </c>
      <c r="G57" s="271" t="str">
        <f>'TSSS '!F24</f>
        <v>HTKT chưa hoàn thiện trong Cụm công nghiệp, chưa san lấp mặt bằng, chưa có hạ tầng điện nước và hạ tầng thoát nước. Đã làm đường</v>
      </c>
      <c r="I57" s="264"/>
      <c r="J57" s="264"/>
      <c r="K57" s="264"/>
    </row>
    <row r="58" spans="1:11">
      <c r="A58" s="385"/>
      <c r="B58" s="279" t="s">
        <v>17</v>
      </c>
      <c r="C58" s="277" t="s">
        <v>18</v>
      </c>
      <c r="D58" s="277"/>
      <c r="E58" s="283">
        <v>0.15</v>
      </c>
      <c r="F58" s="283">
        <v>0</v>
      </c>
      <c r="G58" s="283">
        <v>7.0000000000000007E-2</v>
      </c>
      <c r="H58" s="284"/>
      <c r="I58" s="265">
        <f>IF(E58=0,0,1)</f>
        <v>1</v>
      </c>
      <c r="J58" s="265">
        <f>IF(F58=0,0,1)</f>
        <v>0</v>
      </c>
      <c r="K58" s="265">
        <f>IF(G58=0,0,1)</f>
        <v>1</v>
      </c>
    </row>
    <row r="59" spans="1:11">
      <c r="A59" s="385"/>
      <c r="B59" s="279" t="s">
        <v>19</v>
      </c>
      <c r="C59" s="281" t="s">
        <v>394</v>
      </c>
      <c r="D59" s="277"/>
      <c r="E59" s="282">
        <f>E20*E58</f>
        <v>162000</v>
      </c>
      <c r="F59" s="282">
        <f t="shared" ref="F59:G59" si="21">F20*F58</f>
        <v>0</v>
      </c>
      <c r="G59" s="282">
        <f t="shared" si="21"/>
        <v>94500.000000000015</v>
      </c>
      <c r="I59" s="266">
        <f>ABS(E58)</f>
        <v>0.15</v>
      </c>
      <c r="J59" s="266">
        <f>ABS(F58)</f>
        <v>0</v>
      </c>
      <c r="K59" s="266">
        <f>ABS(G58)</f>
        <v>7.0000000000000007E-2</v>
      </c>
    </row>
    <row r="60" spans="1:11">
      <c r="A60" s="386"/>
      <c r="B60" s="279" t="s">
        <v>329</v>
      </c>
      <c r="C60" s="281" t="s">
        <v>394</v>
      </c>
      <c r="D60" s="277"/>
      <c r="E60" s="282">
        <f t="shared" ref="E60:G60" si="22">E59+E56</f>
        <v>1425600</v>
      </c>
      <c r="F60" s="282">
        <f t="shared" si="22"/>
        <v>1688793.6043952175</v>
      </c>
      <c r="G60" s="282">
        <f t="shared" si="22"/>
        <v>1741500</v>
      </c>
      <c r="I60" s="266">
        <f>IF(E58=0,100%,ABS(E58))</f>
        <v>0.15</v>
      </c>
      <c r="J60" s="266">
        <f>IF(F58=0,100%,ABS(F58))</f>
        <v>1</v>
      </c>
      <c r="K60" s="266">
        <f>IF(G58=0,100%,ABS(G58))</f>
        <v>7.0000000000000007E-2</v>
      </c>
    </row>
    <row r="61" spans="1:11" ht="27.6" hidden="1">
      <c r="A61" s="384" t="s">
        <v>398</v>
      </c>
      <c r="B61" s="273" t="str">
        <f>'[2]TSSS '!B42</f>
        <v>Điều kiện môi trường an ninh</v>
      </c>
      <c r="C61" s="277"/>
      <c r="D61" s="271" t="str">
        <f>'[2]TSSS '!C42</f>
        <v>Nhìn ra sân Gofl</v>
      </c>
      <c r="E61" s="271" t="str">
        <f>'[2]TSSS '!E42</f>
        <v>Nhìn ra sân Gofl</v>
      </c>
      <c r="F61" s="271" t="str">
        <f>'[2]TSSS '!F42</f>
        <v>Nhìn ra sân Gofl</v>
      </c>
      <c r="G61" s="271" t="str">
        <f>'[2]TSSS '!F42</f>
        <v>Nhìn ra sân Gofl</v>
      </c>
      <c r="I61" s="264"/>
      <c r="J61" s="264"/>
      <c r="K61" s="264"/>
    </row>
    <row r="62" spans="1:11" hidden="1">
      <c r="A62" s="385"/>
      <c r="B62" s="279" t="s">
        <v>17</v>
      </c>
      <c r="C62" s="277" t="s">
        <v>18</v>
      </c>
      <c r="D62" s="277"/>
      <c r="E62" s="283">
        <v>0</v>
      </c>
      <c r="F62" s="283">
        <v>0</v>
      </c>
      <c r="G62" s="283">
        <v>0</v>
      </c>
      <c r="H62" s="284"/>
      <c r="I62" s="265">
        <f>IF(E62=0,0,1)</f>
        <v>0</v>
      </c>
      <c r="J62" s="265">
        <f>IF(F62=0,0,1)</f>
        <v>0</v>
      </c>
      <c r="K62" s="265">
        <f>IF(G62=0,0,1)</f>
        <v>0</v>
      </c>
    </row>
    <row r="63" spans="1:11" hidden="1">
      <c r="A63" s="385"/>
      <c r="B63" s="279" t="s">
        <v>19</v>
      </c>
      <c r="C63" s="281" t="s">
        <v>394</v>
      </c>
      <c r="D63" s="277"/>
      <c r="E63" s="282">
        <f>E20*E62</f>
        <v>0</v>
      </c>
      <c r="F63" s="282">
        <f t="shared" ref="F63:G63" si="23">F20*F62</f>
        <v>0</v>
      </c>
      <c r="G63" s="282">
        <f t="shared" si="23"/>
        <v>0</v>
      </c>
      <c r="I63" s="266">
        <f>ABS(E62)</f>
        <v>0</v>
      </c>
      <c r="J63" s="266">
        <f>ABS(F62)</f>
        <v>0</v>
      </c>
      <c r="K63" s="266">
        <f>ABS(G62)</f>
        <v>0</v>
      </c>
    </row>
    <row r="64" spans="1:11" hidden="1">
      <c r="A64" s="386"/>
      <c r="B64" s="279" t="s">
        <v>329</v>
      </c>
      <c r="C64" s="281" t="s">
        <v>394</v>
      </c>
      <c r="D64" s="277"/>
      <c r="E64" s="282">
        <f t="shared" ref="E64:G64" si="24">E63+E60</f>
        <v>1425600</v>
      </c>
      <c r="F64" s="282">
        <f t="shared" si="24"/>
        <v>1688793.6043952175</v>
      </c>
      <c r="G64" s="282">
        <f t="shared" si="24"/>
        <v>1741500</v>
      </c>
      <c r="I64" s="266">
        <f>IF(E62=0,100%,ABS(E62))</f>
        <v>1</v>
      </c>
      <c r="J64" s="266">
        <f>IF(F62=0,100%,ABS(F62))</f>
        <v>1</v>
      </c>
      <c r="K64" s="266">
        <f>IF(G62=0,100%,ABS(G62))</f>
        <v>1</v>
      </c>
    </row>
    <row r="65" spans="1:11" s="290" customFormat="1">
      <c r="A65" s="276" t="s">
        <v>25</v>
      </c>
      <c r="B65" s="286" t="s">
        <v>26</v>
      </c>
      <c r="C65" s="276" t="s">
        <v>394</v>
      </c>
      <c r="D65" s="276"/>
      <c r="E65" s="288">
        <f>E3+E7+E11+E15+E19+E23+E27+E31+E35+E39+E43+E47+E51+E55+E59+E63</f>
        <v>1425600</v>
      </c>
      <c r="F65" s="288">
        <f>F3+F7+F11+F15+F19+F23+F27+F31+F35+F39+F43+F47+F51+F55+F59+F63</f>
        <v>1688793.6043952175</v>
      </c>
      <c r="G65" s="288">
        <f>G3+G7+G11+G15+G19+G23+G27+G31+G35+G39+G43+G47+G51+G55+G59+G63</f>
        <v>1741500</v>
      </c>
      <c r="H65" s="289">
        <f>E66</f>
        <v>1618631</v>
      </c>
      <c r="I65" s="264"/>
      <c r="J65" s="264"/>
      <c r="K65" s="264"/>
    </row>
    <row r="66" spans="1:11">
      <c r="A66" s="281" t="s">
        <v>27</v>
      </c>
      <c r="B66" s="279" t="s">
        <v>46</v>
      </c>
      <c r="C66" s="281" t="s">
        <v>28</v>
      </c>
      <c r="D66" s="281"/>
      <c r="E66" s="387">
        <f>ROUND(AVERAGE(E65:G65),0)</f>
        <v>1618631</v>
      </c>
      <c r="F66" s="387"/>
      <c r="G66" s="387"/>
      <c r="H66" s="291">
        <f>AVERAGE(E65:G65)</f>
        <v>1618631.2014650723</v>
      </c>
      <c r="I66" s="267"/>
      <c r="J66" s="267"/>
      <c r="K66" s="267"/>
    </row>
    <row r="67" spans="1:11">
      <c r="A67" s="281" t="s">
        <v>29</v>
      </c>
      <c r="B67" s="279" t="s">
        <v>47</v>
      </c>
      <c r="C67" s="277" t="s">
        <v>18</v>
      </c>
      <c r="D67" s="281"/>
      <c r="E67" s="292">
        <f>(E65-$E$66)/$E$66</f>
        <v>-0.11925571671369201</v>
      </c>
      <c r="F67" s="292">
        <f>(F65-$E$66)/$E$66</f>
        <v>4.334688041636265E-2</v>
      </c>
      <c r="G67" s="292">
        <f>(G65-$E$66)/$E$66</f>
        <v>7.5909209696342156E-2</v>
      </c>
      <c r="I67" s="264"/>
      <c r="J67" s="264"/>
      <c r="K67" s="264"/>
    </row>
    <row r="68" spans="1:11" s="290" customFormat="1" ht="27.6">
      <c r="A68" s="276" t="s">
        <v>30</v>
      </c>
      <c r="B68" s="293" t="s">
        <v>31</v>
      </c>
      <c r="C68" s="287"/>
      <c r="D68" s="287"/>
      <c r="E68" s="288"/>
      <c r="F68" s="288"/>
      <c r="G68" s="288"/>
      <c r="I68" s="264"/>
      <c r="J68" s="264"/>
      <c r="K68" s="264"/>
    </row>
    <row r="69" spans="1:11">
      <c r="A69" s="281" t="s">
        <v>32</v>
      </c>
      <c r="B69" s="279" t="s">
        <v>33</v>
      </c>
      <c r="C69" s="281" t="s">
        <v>28</v>
      </c>
      <c r="D69" s="281"/>
      <c r="E69" s="288">
        <f>ABS(E7)+ABS(E11)+ABS(E15)+ABS(E19)+ABS(E23)+ABS(E27)+ABS(E31)+ABS(E35)+ABS(E39)+ABS(E43)+ABS(E47)+ABS(E51)+ABS(E55)+ABS(E59)+ABS(E63)</f>
        <v>518400</v>
      </c>
      <c r="F69" s="288">
        <f>ABS(F7)+ABS(F11)+ABS(F15)+ABS(F19)+ABS(F23)+ABS(F27)+ABS(F31)+ABS(F35)+ABS(F39)+ABS(F43)+ABS(F47)+ABS(F51)+ABS(F55)+ABS(F59)+ABS(F63)</f>
        <v>307053.38261731225</v>
      </c>
      <c r="G69" s="288">
        <f>ABS(G7)+ABS(G11)+ABS(G15)+ABS(G19)+ABS(G23)+ABS(G27)+ABS(G31)+ABS(G35)+ABS(G39)+ABS(G43)+ABS(G47)+ABS(G51)+ABS(G55)+ABS(G59)+ABS(G63)</f>
        <v>391500</v>
      </c>
      <c r="I69" s="267"/>
      <c r="J69" s="267"/>
      <c r="K69" s="267"/>
    </row>
    <row r="70" spans="1:11">
      <c r="A70" s="281" t="s">
        <v>34</v>
      </c>
      <c r="B70" s="279" t="s">
        <v>35</v>
      </c>
      <c r="C70" s="277" t="s">
        <v>36</v>
      </c>
      <c r="D70" s="277"/>
      <c r="E70" s="294">
        <f>I71</f>
        <v>6</v>
      </c>
      <c r="F70" s="294">
        <f t="shared" ref="F70:G70" si="25">J71</f>
        <v>3</v>
      </c>
      <c r="G70" s="294">
        <f t="shared" si="25"/>
        <v>5</v>
      </c>
      <c r="I70" s="264"/>
      <c r="J70" s="264"/>
      <c r="K70" s="264"/>
    </row>
    <row r="71" spans="1:11">
      <c r="A71" s="281" t="s">
        <v>37</v>
      </c>
      <c r="B71" s="279" t="s">
        <v>38</v>
      </c>
      <c r="C71" s="277" t="s">
        <v>18</v>
      </c>
      <c r="D71" s="277"/>
      <c r="E71" s="295" t="s">
        <v>415</v>
      </c>
      <c r="F71" s="295" t="s">
        <v>416</v>
      </c>
      <c r="G71" s="295" t="s">
        <v>417</v>
      </c>
      <c r="H71" s="296"/>
      <c r="I71" s="268">
        <f>I6+I10+I14+I18+I22+I26+I30+I34+I42+I46+I50+I58+I62</f>
        <v>6</v>
      </c>
      <c r="J71" s="268">
        <f t="shared" ref="J71:K71" si="26">J6+J10+J14+J18+J22+J26+J30+J34+J42+J46+J50+J58+J62</f>
        <v>3</v>
      </c>
      <c r="K71" s="268">
        <f t="shared" si="26"/>
        <v>5</v>
      </c>
    </row>
    <row r="72" spans="1:11" ht="27.6">
      <c r="A72" s="281" t="s">
        <v>39</v>
      </c>
      <c r="B72" s="279" t="s">
        <v>40</v>
      </c>
      <c r="C72" s="281" t="s">
        <v>28</v>
      </c>
      <c r="D72" s="281"/>
      <c r="E72" s="297">
        <f>ABS(E7+E11+E15+E19+E23+E27+E31+E35+E39+E43+E47+E51+E55+E59+E63)</f>
        <v>345600</v>
      </c>
      <c r="F72" s="297">
        <f>ABS(F7+F11+F15+F19+F23+F27+F31+F35+F39+F43+F47+F51+F55+F59+F63)</f>
        <v>153526.69130865613</v>
      </c>
      <c r="G72" s="297">
        <f>ABS(G7+G11+G15+G19+G23+G27+G31+G35+G39+G43+G47+G51+G55+G59+G63)</f>
        <v>391500</v>
      </c>
      <c r="I72" s="269">
        <f>MIN(I8,I12,I16,I20,I24,I28,I32,I36,I40,I44,I48,I52,I56,I60,I64)</f>
        <v>0.05</v>
      </c>
      <c r="J72" s="269">
        <f t="shared" ref="J72:K72" si="27">MIN(J8,J12,J16,J20,J24,J28,J32,J36,J40,J44,J48,J52,J56,J60,J64)</f>
        <v>0.05</v>
      </c>
      <c r="K72" s="269">
        <f t="shared" si="27"/>
        <v>0.05</v>
      </c>
    </row>
    <row r="73" spans="1:11">
      <c r="D73" s="272" t="s">
        <v>399</v>
      </c>
      <c r="E73" s="298">
        <f>I72</f>
        <v>0.05</v>
      </c>
      <c r="F73" s="298">
        <f t="shared" ref="F73:G73" si="28">J72</f>
        <v>0.05</v>
      </c>
      <c r="G73" s="298">
        <f t="shared" si="28"/>
        <v>0.05</v>
      </c>
      <c r="I73" s="269">
        <f>MAX(I7,I11,I15,I19,I23,I31,I35,I39,I43,I47,I51,I55,I59,I63)</f>
        <v>0.15</v>
      </c>
      <c r="J73" s="269">
        <f>MAX(J7,J11,J15,J19,J23,J31,J35,J39,J43,J47,J51,J55,J59,J63)</f>
        <v>0.05</v>
      </c>
      <c r="K73" s="269">
        <f>MAX(K7,K11,K15,K19,K23,K31,K35,K39,K43,K47,K51,K55,K59,K63)</f>
        <v>7.0000000000000007E-2</v>
      </c>
    </row>
    <row r="74" spans="1:11" ht="42.75" hidden="1" customHeight="1">
      <c r="B74" s="389" t="s">
        <v>165</v>
      </c>
      <c r="C74" s="388"/>
      <c r="D74" s="388"/>
      <c r="E74" s="388"/>
      <c r="F74" s="388"/>
      <c r="G74" s="388"/>
    </row>
    <row r="75" spans="1:11" ht="18.75" hidden="1" customHeight="1">
      <c r="B75" s="299">
        <f>E66</f>
        <v>1618631</v>
      </c>
      <c r="C75" s="300">
        <v>0.85</v>
      </c>
      <c r="D75" s="301">
        <f>C75*B75</f>
        <v>1375836.3499999999</v>
      </c>
      <c r="E75" s="302" t="s">
        <v>400</v>
      </c>
      <c r="F75" s="302"/>
    </row>
    <row r="76" spans="1:11" hidden="1">
      <c r="B76" s="388" t="s">
        <v>401</v>
      </c>
      <c r="C76" s="388"/>
      <c r="D76" s="388"/>
      <c r="E76" s="388"/>
      <c r="F76" s="388"/>
      <c r="G76" s="388"/>
    </row>
    <row r="77" spans="1:11" ht="46.5" hidden="1" customHeight="1">
      <c r="B77" s="389" t="s">
        <v>150</v>
      </c>
      <c r="C77" s="388"/>
      <c r="D77" s="388"/>
      <c r="E77" s="388"/>
      <c r="F77" s="388"/>
      <c r="G77" s="388"/>
    </row>
    <row r="78" spans="1:11" ht="33" hidden="1" customHeight="1">
      <c r="B78" s="389" t="s">
        <v>164</v>
      </c>
      <c r="C78" s="388"/>
      <c r="D78" s="388"/>
      <c r="E78" s="388"/>
      <c r="F78" s="388"/>
      <c r="G78" s="388"/>
    </row>
    <row r="79" spans="1:11" hidden="1">
      <c r="B79" s="390" t="s">
        <v>246</v>
      </c>
      <c r="C79" s="388"/>
      <c r="D79" s="388"/>
      <c r="E79" s="388"/>
      <c r="F79" s="388"/>
      <c r="G79" s="388"/>
    </row>
    <row r="80" spans="1:11" ht="46.5" hidden="1" customHeight="1">
      <c r="B80" s="390" t="s">
        <v>402</v>
      </c>
      <c r="C80" s="388"/>
      <c r="D80" s="388"/>
      <c r="E80" s="388"/>
      <c r="F80" s="388"/>
      <c r="G80" s="388"/>
    </row>
    <row r="81" spans="1:7" ht="28.2" hidden="1" thickBot="1">
      <c r="B81" s="392" t="s">
        <v>168</v>
      </c>
      <c r="C81" s="392" t="s">
        <v>151</v>
      </c>
      <c r="D81" s="303" t="s">
        <v>152</v>
      </c>
      <c r="E81" s="392" t="s">
        <v>153</v>
      </c>
      <c r="F81" s="304" t="s">
        <v>154</v>
      </c>
    </row>
    <row r="82" spans="1:7" ht="27.6" hidden="1">
      <c r="B82" s="392"/>
      <c r="C82" s="392"/>
      <c r="D82" s="304" t="s">
        <v>156</v>
      </c>
      <c r="E82" s="392"/>
      <c r="F82" s="304" t="s">
        <v>155</v>
      </c>
    </row>
    <row r="83" spans="1:7" ht="14.4" hidden="1" thickBot="1">
      <c r="B83" s="304"/>
      <c r="C83" s="392" t="s">
        <v>151</v>
      </c>
      <c r="D83" s="303" t="s">
        <v>403</v>
      </c>
      <c r="E83" s="304" t="s">
        <v>153</v>
      </c>
      <c r="F83" s="304" t="s">
        <v>162</v>
      </c>
      <c r="G83" s="305"/>
    </row>
    <row r="84" spans="1:7" hidden="1">
      <c r="B84" s="304"/>
      <c r="C84" s="392"/>
      <c r="D84" s="304" t="s">
        <v>163</v>
      </c>
      <c r="E84" s="304"/>
      <c r="F84" s="304"/>
    </row>
    <row r="85" spans="1:7" hidden="1">
      <c r="B85" s="306"/>
      <c r="C85" s="304" t="s">
        <v>151</v>
      </c>
      <c r="D85" s="307">
        <f>21675000*46.5/70</f>
        <v>14398392.857142856</v>
      </c>
      <c r="E85" s="304" t="s">
        <v>404</v>
      </c>
      <c r="F85" s="302"/>
      <c r="G85" s="308"/>
    </row>
    <row r="86" spans="1:7" ht="12.75" hidden="1" customHeight="1">
      <c r="C86" s="309"/>
    </row>
    <row r="87" spans="1:7" ht="21.75" hidden="1" customHeight="1">
      <c r="A87" s="276" t="s">
        <v>7</v>
      </c>
      <c r="B87" s="276" t="s">
        <v>157</v>
      </c>
      <c r="C87" s="276" t="s">
        <v>158</v>
      </c>
      <c r="D87" s="276" t="s">
        <v>159</v>
      </c>
      <c r="E87" s="276" t="s">
        <v>160</v>
      </c>
    </row>
    <row r="88" spans="1:7" ht="42" hidden="1" thickBot="1">
      <c r="A88" s="281">
        <v>1</v>
      </c>
      <c r="B88" s="310" t="s">
        <v>166</v>
      </c>
      <c r="C88" s="311" t="str">
        <f>D21</f>
        <v>Tiếp giáp trục chính đường nội bộ Cụm Công nghiệp</v>
      </c>
      <c r="D88" s="312">
        <f>D85</f>
        <v>14398392.857142856</v>
      </c>
      <c r="E88" s="312" t="e">
        <f>D88*C88</f>
        <v>#VALUE!</v>
      </c>
    </row>
    <row r="89" spans="1:7" ht="42" hidden="1" thickBot="1">
      <c r="A89" s="281">
        <v>2</v>
      </c>
      <c r="B89" s="313" t="s">
        <v>167</v>
      </c>
      <c r="C89" s="311">
        <v>19067.3</v>
      </c>
      <c r="D89" s="312">
        <f>D88</f>
        <v>14398392.857142856</v>
      </c>
      <c r="E89" s="312">
        <f>D89*C89</f>
        <v>274538476124.99997</v>
      </c>
    </row>
    <row r="90" spans="1:7" ht="21.75" hidden="1" customHeight="1">
      <c r="A90" s="281"/>
      <c r="B90" s="276" t="s">
        <v>44</v>
      </c>
      <c r="C90" s="276"/>
      <c r="D90" s="276"/>
      <c r="E90" s="314" t="e">
        <f>E88+E89</f>
        <v>#VALUE!</v>
      </c>
    </row>
    <row r="91" spans="1:7" hidden="1"/>
    <row r="92" spans="1:7" hidden="1"/>
    <row r="93" spans="1:7">
      <c r="D93" s="272" t="s">
        <v>405</v>
      </c>
      <c r="E93" s="298">
        <f>I73</f>
        <v>0.15</v>
      </c>
      <c r="F93" s="298">
        <f t="shared" ref="F93:G93" si="29">J73</f>
        <v>0.05</v>
      </c>
      <c r="G93" s="298">
        <f t="shared" si="29"/>
        <v>7.0000000000000007E-2</v>
      </c>
    </row>
    <row r="95" spans="1:7">
      <c r="E95" s="315"/>
    </row>
    <row r="96" spans="1:7">
      <c r="E96" s="315"/>
      <c r="F96" s="316"/>
    </row>
    <row r="97" spans="3:7">
      <c r="E97" s="315"/>
      <c r="F97" s="316"/>
    </row>
    <row r="98" spans="3:7" ht="46.8">
      <c r="C98" s="317" t="s">
        <v>121</v>
      </c>
      <c r="D98" s="317" t="s">
        <v>173</v>
      </c>
      <c r="E98" s="317" t="s">
        <v>406</v>
      </c>
      <c r="F98" s="317" t="s">
        <v>407</v>
      </c>
      <c r="G98" s="317" t="s">
        <v>408</v>
      </c>
    </row>
    <row r="99" spans="3:7" ht="15.6">
      <c r="C99" s="318">
        <v>1</v>
      </c>
      <c r="D99" s="319" t="s">
        <v>1</v>
      </c>
      <c r="E99" s="320">
        <f>E65</f>
        <v>1425600</v>
      </c>
      <c r="F99" s="321">
        <f>1/3</f>
        <v>0.33333333333333331</v>
      </c>
      <c r="G99" s="320">
        <f>E99*F99</f>
        <v>475200</v>
      </c>
    </row>
    <row r="100" spans="3:7" ht="15.6">
      <c r="C100" s="318">
        <v>2</v>
      </c>
      <c r="D100" s="319" t="s">
        <v>2</v>
      </c>
      <c r="E100" s="320">
        <f>F65</f>
        <v>1688793.6043952175</v>
      </c>
      <c r="F100" s="321">
        <f t="shared" ref="F100:F101" si="30">1/3</f>
        <v>0.33333333333333331</v>
      </c>
      <c r="G100" s="320">
        <f t="shared" ref="G100:G101" si="31">E100*F100</f>
        <v>562931.20146507246</v>
      </c>
    </row>
    <row r="101" spans="3:7" ht="15.6">
      <c r="C101" s="318">
        <v>3</v>
      </c>
      <c r="D101" s="319" t="s">
        <v>3</v>
      </c>
      <c r="E101" s="320">
        <f>G65</f>
        <v>1741500</v>
      </c>
      <c r="F101" s="321">
        <f t="shared" si="30"/>
        <v>0.33333333333333331</v>
      </c>
      <c r="G101" s="320">
        <f t="shared" si="31"/>
        <v>580500</v>
      </c>
    </row>
    <row r="102" spans="3:7" ht="15.6">
      <c r="C102" s="391" t="s">
        <v>409</v>
      </c>
      <c r="D102" s="391"/>
      <c r="E102" s="391"/>
      <c r="F102" s="391"/>
      <c r="G102" s="322">
        <f>SUM(G99:G101)</f>
        <v>1618631.2014650726</v>
      </c>
    </row>
    <row r="103" spans="3:7" ht="15.6">
      <c r="C103" s="391" t="s">
        <v>229</v>
      </c>
      <c r="D103" s="391"/>
      <c r="E103" s="391"/>
      <c r="F103" s="391"/>
      <c r="G103" s="322">
        <f>ROUND(E66,-5)</f>
        <v>1600000</v>
      </c>
    </row>
  </sheetData>
  <mergeCells count="28">
    <mergeCell ref="C102:F102"/>
    <mergeCell ref="C103:F103"/>
    <mergeCell ref="B80:G80"/>
    <mergeCell ref="B81:B82"/>
    <mergeCell ref="C81:C82"/>
    <mergeCell ref="E81:E82"/>
    <mergeCell ref="C83:C84"/>
    <mergeCell ref="E66:G66"/>
    <mergeCell ref="B76:G76"/>
    <mergeCell ref="B77:G77"/>
    <mergeCell ref="B78:G78"/>
    <mergeCell ref="B79:G79"/>
    <mergeCell ref="B74:G74"/>
    <mergeCell ref="A45:A48"/>
    <mergeCell ref="A49:A52"/>
    <mergeCell ref="A53:A56"/>
    <mergeCell ref="A57:A60"/>
    <mergeCell ref="A61:A64"/>
    <mergeCell ref="A25:A28"/>
    <mergeCell ref="A29:A32"/>
    <mergeCell ref="A33:A36"/>
    <mergeCell ref="A37:A40"/>
    <mergeCell ref="A41:A44"/>
    <mergeCell ref="A5:A8"/>
    <mergeCell ref="A9:A12"/>
    <mergeCell ref="A13:A16"/>
    <mergeCell ref="A17:A20"/>
    <mergeCell ref="A21:A2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C5575-1603-4016-9B3C-A579F2F3C615}">
  <dimension ref="A2:N18"/>
  <sheetViews>
    <sheetView workbookViewId="0">
      <selection activeCell="L17" sqref="L17"/>
    </sheetView>
  </sheetViews>
  <sheetFormatPr defaultColWidth="7.8984375" defaultRowHeight="13.8"/>
  <cols>
    <col min="1" max="1" width="5.3984375" style="449" customWidth="1"/>
    <col min="2" max="2" width="44.5" style="432" customWidth="1"/>
    <col min="3" max="3" width="6.19921875" style="455" customWidth="1"/>
    <col min="4" max="4" width="4.5" style="432" customWidth="1"/>
    <col min="5" max="5" width="16.8984375" style="432" customWidth="1"/>
    <col min="6" max="6" width="17" style="456" hidden="1" customWidth="1"/>
    <col min="7" max="7" width="10.5" style="457" customWidth="1"/>
    <col min="8" max="8" width="11" style="457" customWidth="1"/>
    <col min="9" max="9" width="12.19921875" style="458" customWidth="1"/>
    <col min="10" max="11" width="8.8984375" style="457" customWidth="1"/>
    <col min="12" max="12" width="9.5" style="457" customWidth="1"/>
    <col min="13" max="13" width="6.59765625" style="457" customWidth="1"/>
    <col min="14" max="14" width="16.5" style="432" customWidth="1"/>
    <col min="15" max="16384" width="7.8984375" style="432"/>
  </cols>
  <sheetData>
    <row r="2" spans="1:14" ht="18.600000000000001" customHeight="1">
      <c r="A2" s="431" t="s">
        <v>435</v>
      </c>
      <c r="B2" s="431"/>
      <c r="C2" s="431"/>
      <c r="D2" s="431"/>
      <c r="E2" s="431"/>
      <c r="F2" s="431"/>
      <c r="G2" s="431"/>
      <c r="H2" s="431"/>
      <c r="I2" s="431"/>
      <c r="J2" s="431"/>
      <c r="K2" s="431"/>
      <c r="L2" s="431"/>
      <c r="M2" s="431"/>
      <c r="N2" s="431"/>
    </row>
    <row r="4" spans="1:14" s="435" customFormat="1" ht="55.2">
      <c r="A4" s="433" t="s">
        <v>7</v>
      </c>
      <c r="B4" s="433" t="s">
        <v>63</v>
      </c>
      <c r="C4" s="433" t="s">
        <v>436</v>
      </c>
      <c r="D4" s="433" t="s">
        <v>437</v>
      </c>
      <c r="E4" s="433" t="s">
        <v>438</v>
      </c>
      <c r="F4" s="433" t="s">
        <v>439</v>
      </c>
      <c r="G4" s="433" t="s">
        <v>440</v>
      </c>
      <c r="H4" s="433" t="s">
        <v>441</v>
      </c>
      <c r="I4" s="434" t="s">
        <v>442</v>
      </c>
      <c r="J4" s="433" t="s">
        <v>443</v>
      </c>
      <c r="K4" s="433" t="s">
        <v>444</v>
      </c>
      <c r="L4" s="433" t="s">
        <v>445</v>
      </c>
      <c r="M4" s="433" t="s">
        <v>445</v>
      </c>
      <c r="N4" s="433" t="s">
        <v>446</v>
      </c>
    </row>
    <row r="5" spans="1:14">
      <c r="A5" s="437">
        <v>1</v>
      </c>
      <c r="B5" s="438" t="s">
        <v>450</v>
      </c>
      <c r="C5" s="116" t="s">
        <v>449</v>
      </c>
      <c r="D5" s="437">
        <v>1</v>
      </c>
      <c r="E5" s="439">
        <v>14379000000</v>
      </c>
      <c r="F5" s="200" t="s">
        <v>447</v>
      </c>
      <c r="G5" s="460" t="s">
        <v>452</v>
      </c>
      <c r="H5" s="440">
        <v>46193</v>
      </c>
      <c r="I5" s="441">
        <v>0.9</v>
      </c>
      <c r="J5" s="442">
        <f t="shared" ref="J5" si="0">ROUND((H5-G5)*12/365,0)</f>
        <v>7</v>
      </c>
      <c r="K5" s="442">
        <f>15*12</f>
        <v>180</v>
      </c>
      <c r="L5" s="441">
        <f>ROUND(1-(J5/K5),6)</f>
        <v>0.96111100000000005</v>
      </c>
      <c r="M5" s="443">
        <f>IF(ABS(I5-L5)&gt;20%,I5,((I5+L5)/2))</f>
        <v>0.93055550000000009</v>
      </c>
      <c r="N5" s="444">
        <f>M5*E5</f>
        <v>13380457534.500002</v>
      </c>
    </row>
    <row r="6" spans="1:14">
      <c r="A6" s="445"/>
      <c r="B6" s="445" t="s">
        <v>448</v>
      </c>
      <c r="C6" s="436"/>
      <c r="D6" s="436"/>
      <c r="E6" s="446">
        <f>SUM(E5:E5)</f>
        <v>14379000000</v>
      </c>
      <c r="F6" s="116"/>
      <c r="G6" s="437"/>
      <c r="H6" s="437"/>
      <c r="I6" s="447"/>
      <c r="J6" s="437"/>
      <c r="K6" s="437"/>
      <c r="L6" s="437"/>
      <c r="M6" s="448"/>
      <c r="N6" s="446">
        <f>SUM(N5:N5)</f>
        <v>13380457534.500002</v>
      </c>
    </row>
    <row r="7" spans="1:14">
      <c r="B7" s="435"/>
      <c r="C7" s="450"/>
      <c r="D7" s="449"/>
      <c r="E7" s="451"/>
      <c r="F7" s="450"/>
      <c r="G7" s="449"/>
      <c r="H7" s="449"/>
      <c r="I7" s="452"/>
      <c r="J7" s="449"/>
      <c r="K7" s="449"/>
      <c r="L7" s="449"/>
      <c r="M7" s="449"/>
      <c r="N7" s="451"/>
    </row>
    <row r="8" spans="1:14">
      <c r="B8" s="435"/>
      <c r="C8" s="450"/>
      <c r="D8" s="449"/>
      <c r="E8" s="451"/>
      <c r="F8" s="450"/>
      <c r="G8" s="449"/>
      <c r="H8" s="449"/>
      <c r="I8" s="452"/>
      <c r="J8" s="449"/>
      <c r="K8" s="449"/>
      <c r="L8" s="449"/>
      <c r="M8" s="449"/>
      <c r="N8" s="451"/>
    </row>
    <row r="9" spans="1:14">
      <c r="B9" s="435"/>
      <c r="C9" s="450"/>
      <c r="D9" s="449"/>
      <c r="E9" s="451"/>
      <c r="F9" s="450"/>
      <c r="G9" s="449"/>
      <c r="H9" s="449"/>
      <c r="I9" s="452"/>
      <c r="J9" s="449"/>
      <c r="K9" s="449"/>
      <c r="L9" s="449"/>
      <c r="M9" s="449"/>
      <c r="N9" s="451"/>
    </row>
    <row r="10" spans="1:14" ht="27.6">
      <c r="B10" s="435"/>
      <c r="C10" s="450"/>
      <c r="D10" s="449"/>
      <c r="E10" s="463" t="s">
        <v>456</v>
      </c>
      <c r="F10" s="464"/>
      <c r="G10" s="464" t="s">
        <v>457</v>
      </c>
      <c r="H10" s="464" t="s">
        <v>458</v>
      </c>
      <c r="I10" s="452"/>
      <c r="J10" s="449"/>
      <c r="K10" s="449"/>
      <c r="L10" s="449"/>
      <c r="M10" s="449"/>
      <c r="N10" s="451"/>
    </row>
    <row r="11" spans="1:14">
      <c r="B11" s="435"/>
      <c r="C11" s="450"/>
      <c r="D11" s="449"/>
      <c r="E11" s="451"/>
      <c r="F11" s="453"/>
      <c r="G11" s="454"/>
      <c r="H11" s="454"/>
      <c r="I11" s="452"/>
      <c r="J11" s="454"/>
      <c r="K11" s="454"/>
      <c r="L11" s="454"/>
      <c r="M11" s="454"/>
      <c r="N11" s="451"/>
    </row>
    <row r="12" spans="1:14">
      <c r="E12" s="462">
        <v>4890000000</v>
      </c>
      <c r="G12" s="457">
        <v>175</v>
      </c>
      <c r="H12" s="460" t="s">
        <v>451</v>
      </c>
      <c r="N12" s="459"/>
    </row>
    <row r="13" spans="1:14">
      <c r="E13" s="462">
        <v>1510000000</v>
      </c>
      <c r="G13" s="457">
        <v>197</v>
      </c>
      <c r="H13" s="461" t="s">
        <v>452</v>
      </c>
      <c r="N13" s="459"/>
    </row>
    <row r="14" spans="1:14">
      <c r="E14" s="462">
        <v>4350000000</v>
      </c>
      <c r="G14" s="457">
        <v>190</v>
      </c>
      <c r="H14" s="461" t="s">
        <v>453</v>
      </c>
      <c r="M14" s="458"/>
    </row>
    <row r="15" spans="1:14">
      <c r="E15" s="462">
        <v>1669000000</v>
      </c>
      <c r="G15" s="457">
        <v>185</v>
      </c>
      <c r="H15" s="461" t="s">
        <v>454</v>
      </c>
    </row>
    <row r="16" spans="1:14">
      <c r="E16" s="462">
        <v>1960000000</v>
      </c>
      <c r="G16" s="457">
        <v>179</v>
      </c>
      <c r="H16" s="461" t="s">
        <v>455</v>
      </c>
    </row>
    <row r="18" spans="2:7">
      <c r="B18" s="465" t="s">
        <v>459</v>
      </c>
      <c r="C18" s="466"/>
      <c r="D18" s="467"/>
      <c r="E18" s="468">
        <f>SUM(E12:E16)</f>
        <v>14379000000</v>
      </c>
      <c r="F18" s="469"/>
      <c r="G18" s="470"/>
    </row>
  </sheetData>
  <mergeCells count="1">
    <mergeCell ref="A2:N2"/>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E8B3-F2D7-42D2-9F9D-8D702489938B}">
  <dimension ref="A1:G11"/>
  <sheetViews>
    <sheetView tabSelected="1" workbookViewId="0">
      <selection activeCell="J5" sqref="J5"/>
    </sheetView>
  </sheetViews>
  <sheetFormatPr defaultRowHeight="15.6"/>
  <cols>
    <col min="1" max="1" width="4.5" style="330" customWidth="1"/>
    <col min="2" max="2" width="51.3984375" customWidth="1"/>
    <col min="3" max="3" width="6.59765625" style="330" customWidth="1"/>
    <col min="4" max="4" width="9.59765625" customWidth="1"/>
    <col min="5" max="6" width="11.69921875" customWidth="1"/>
    <col min="7" max="7" width="16.8984375" customWidth="1"/>
  </cols>
  <sheetData>
    <row r="1" spans="1:7" s="192" customFormat="1">
      <c r="A1" s="490" t="s">
        <v>468</v>
      </c>
      <c r="B1" s="490"/>
      <c r="C1" s="490"/>
      <c r="D1" s="490"/>
      <c r="E1" s="490"/>
      <c r="F1" s="490"/>
      <c r="G1" s="490"/>
    </row>
    <row r="2" spans="1:7" s="192" customFormat="1">
      <c r="A2" s="491" t="s">
        <v>469</v>
      </c>
      <c r="B2" s="491"/>
      <c r="C2" s="491"/>
      <c r="D2" s="491"/>
      <c r="E2" s="491"/>
      <c r="F2" s="491"/>
      <c r="G2" s="491"/>
    </row>
    <row r="4" spans="1:7" s="473" customFormat="1" ht="31.2">
      <c r="A4" s="472" t="s">
        <v>121</v>
      </c>
      <c r="B4" s="472" t="s">
        <v>460</v>
      </c>
      <c r="C4" s="472" t="s">
        <v>436</v>
      </c>
      <c r="D4" s="472" t="s">
        <v>437</v>
      </c>
      <c r="E4" s="472" t="s">
        <v>461</v>
      </c>
      <c r="F4" s="472" t="s">
        <v>465</v>
      </c>
      <c r="G4" s="472" t="s">
        <v>462</v>
      </c>
    </row>
    <row r="5" spans="1:7" s="192" customFormat="1" ht="92.4" customHeight="1">
      <c r="A5" s="55">
        <v>1</v>
      </c>
      <c r="B5" s="485" t="s">
        <v>467</v>
      </c>
      <c r="C5" s="486"/>
      <c r="D5" s="486"/>
      <c r="E5" s="486"/>
      <c r="F5" s="487"/>
      <c r="G5" s="483">
        <f>G6</f>
        <v>31567520000</v>
      </c>
    </row>
    <row r="6" spans="1:7" ht="24" customHeight="1">
      <c r="A6" s="471" t="s">
        <v>65</v>
      </c>
      <c r="B6" s="480" t="s">
        <v>466</v>
      </c>
      <c r="C6" s="471" t="s">
        <v>395</v>
      </c>
      <c r="D6" s="478">
        <f>'BĐC '!D29</f>
        <v>19729.7</v>
      </c>
      <c r="E6" s="479">
        <f>'BĐC '!G103</f>
        <v>1600000</v>
      </c>
      <c r="F6" s="484">
        <v>1</v>
      </c>
      <c r="G6" s="482">
        <f>E6*D6</f>
        <v>31567520000</v>
      </c>
    </row>
    <row r="7" spans="1:7" s="192" customFormat="1" ht="23.4" customHeight="1">
      <c r="A7" s="55">
        <v>2</v>
      </c>
      <c r="B7" s="485" t="s">
        <v>464</v>
      </c>
      <c r="C7" s="486"/>
      <c r="D7" s="486"/>
      <c r="E7" s="486"/>
      <c r="F7" s="487"/>
      <c r="G7" s="489">
        <f>'Bảng tính MMTB'!N6</f>
        <v>13380457534.500002</v>
      </c>
    </row>
    <row r="8" spans="1:7" ht="21.6" customHeight="1">
      <c r="A8" s="471" t="s">
        <v>65</v>
      </c>
      <c r="B8" s="481" t="s">
        <v>450</v>
      </c>
      <c r="C8" s="471" t="s">
        <v>449</v>
      </c>
      <c r="D8" s="58">
        <v>1</v>
      </c>
      <c r="E8" s="58"/>
      <c r="F8" s="488">
        <f>'Bảng tính MMTB'!M5</f>
        <v>0.93055550000000009</v>
      </c>
      <c r="G8" s="180">
        <f>'Bảng tính MMTB'!N5</f>
        <v>13380457534.500002</v>
      </c>
    </row>
    <row r="9" spans="1:7" s="192" customFormat="1">
      <c r="A9" s="55"/>
      <c r="B9" s="55" t="s">
        <v>448</v>
      </c>
      <c r="C9" s="55"/>
      <c r="D9" s="182"/>
      <c r="E9" s="182"/>
      <c r="F9" s="182"/>
      <c r="G9" s="483">
        <f>G7+G5</f>
        <v>44947977534.5</v>
      </c>
    </row>
    <row r="10" spans="1:7" s="192" customFormat="1">
      <c r="A10" s="55"/>
      <c r="B10" s="55" t="s">
        <v>339</v>
      </c>
      <c r="C10" s="55"/>
      <c r="D10" s="182"/>
      <c r="E10" s="182"/>
      <c r="F10" s="182"/>
      <c r="G10" s="483">
        <f>ROUND(G9,-6)</f>
        <v>44948000000</v>
      </c>
    </row>
    <row r="11" spans="1:7" s="477" customFormat="1" ht="16.2">
      <c r="A11" s="474" t="s">
        <v>463</v>
      </c>
      <c r="B11" s="475"/>
      <c r="C11" s="475"/>
      <c r="D11" s="475"/>
      <c r="E11" s="475"/>
      <c r="F11" s="475"/>
      <c r="G11" s="476"/>
    </row>
  </sheetData>
  <mergeCells count="5">
    <mergeCell ref="A1:G1"/>
    <mergeCell ref="A2:G2"/>
    <mergeCell ref="A11:G11"/>
    <mergeCell ref="B5:F5"/>
    <mergeCell ref="B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TTCB</vt:lpstr>
      <vt:lpstr>HSTĐG</vt:lpstr>
      <vt:lpstr>KHTĐG</vt:lpstr>
      <vt:lpstr>Thông tin TSTĐ</vt:lpstr>
      <vt:lpstr>TSSS </vt:lpstr>
      <vt:lpstr>BĐC </vt:lpstr>
      <vt:lpstr>Bảng tính MMTB</vt:lpstr>
      <vt:lpstr>Bảng tổng hợp </vt:lpstr>
      <vt:lpstr>Nhà ở</vt:lpstr>
      <vt:lpstr>Giá trị đất</vt:lpstr>
      <vt:lpstr>Link vị trí TSSS</vt:lpstr>
      <vt:lpstr>Sheet3</vt:lpstr>
      <vt:lpstr>Sheet2</vt:lpstr>
      <vt:lpstr>Sheet1</vt:lpstr>
      <vt:lpstr>Gửi hồ sơ</vt:lpstr>
      <vt:lpstr>Đọc tiền</vt:lpstr>
      <vt:lpstr>So đô TSSS</vt:lpstr>
      <vt:lpstr>CTXD </vt:lpstr>
      <vt:lpstr>HSTĐG!Print_Area</vt:lpstr>
      <vt:lpstr>KHTĐG!Print_Area</vt:lpstr>
      <vt:lpstr>'Thông tin TSTĐ'!Print_Area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Tùng Trần</cp:lastModifiedBy>
  <cp:lastPrinted>2024-08-19T07:04:31Z</cp:lastPrinted>
  <dcterms:created xsi:type="dcterms:W3CDTF">2019-10-10T07:29:14Z</dcterms:created>
  <dcterms:modified xsi:type="dcterms:W3CDTF">2026-06-22T14:58:13Z</dcterms:modified>
</cp:coreProperties>
</file>